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2012" sheetId="7" r:id="rId1"/>
    <sheet name="2013" sheetId="8" r:id="rId2"/>
  </sheets>
  <externalReferences>
    <externalReference r:id="rId3"/>
    <externalReference r:id="rId4"/>
    <externalReference r:id="rId5"/>
  </externalReferences>
  <definedNames>
    <definedName name="_xlnm._FilterDatabase" localSheetId="0" hidden="1">'2012'!$A$22:$AK$168</definedName>
    <definedName name="_xlnm._FilterDatabase" localSheetId="1" hidden="1">'2013'!$A$22:$AK$168</definedName>
    <definedName name="_xlnm.Print_Titles" localSheetId="0">'2012'!$19:$22</definedName>
    <definedName name="_xlnm.Print_Titles" localSheetId="1">'2013'!$19:$22</definedName>
    <definedName name="_xlnm.Print_Area" localSheetId="0">'2012'!$A$1:$O$175</definedName>
    <definedName name="_xlnm.Print_Area" localSheetId="1">'2013'!$A$1:$O$175</definedName>
  </definedNames>
  <calcPr calcId="125725"/>
</workbook>
</file>

<file path=xl/calcChain.xml><?xml version="1.0" encoding="utf-8"?>
<calcChain xmlns="http://schemas.openxmlformats.org/spreadsheetml/2006/main">
  <c r="K97" i="7"/>
  <c r="K121"/>
  <c r="K91" i="8"/>
  <c r="AC91" s="1"/>
  <c r="AE91" s="1"/>
  <c r="AG192"/>
  <c r="AC192"/>
  <c r="AA192"/>
  <c r="K192"/>
  <c r="AA185"/>
  <c r="V185"/>
  <c r="T185" s="1"/>
  <c r="V184"/>
  <c r="AA183"/>
  <c r="Y183"/>
  <c r="AB183" s="1"/>
  <c r="T183"/>
  <c r="AB182"/>
  <c r="AA182"/>
  <c r="Z182" s="1"/>
  <c r="W182"/>
  <c r="T182"/>
  <c r="G177"/>
  <c r="AH167"/>
  <c r="AI166"/>
  <c r="AI165"/>
  <c r="AI164"/>
  <c r="AI163"/>
  <c r="AI162"/>
  <c r="AI161"/>
  <c r="AI160"/>
  <c r="AI159"/>
  <c r="AI158"/>
  <c r="H158"/>
  <c r="AI157"/>
  <c r="H157"/>
  <c r="AI156"/>
  <c r="H156"/>
  <c r="AI155"/>
  <c r="H155"/>
  <c r="AI154"/>
  <c r="H154"/>
  <c r="AI153"/>
  <c r="H153"/>
  <c r="AI152"/>
  <c r="H152"/>
  <c r="AI151"/>
  <c r="H151"/>
  <c r="AI150"/>
  <c r="H150"/>
  <c r="AI149"/>
  <c r="H149"/>
  <c r="AI148"/>
  <c r="H148"/>
  <c r="AI147"/>
  <c r="H147"/>
  <c r="AI146"/>
  <c r="H146"/>
  <c r="AI145"/>
  <c r="H145"/>
  <c r="AI144"/>
  <c r="AG144"/>
  <c r="AB144"/>
  <c r="AA144"/>
  <c r="W144"/>
  <c r="T144"/>
  <c r="AC144"/>
  <c r="AE144" s="1"/>
  <c r="H144"/>
  <c r="V143"/>
  <c r="V167" s="1"/>
  <c r="V168" s="1"/>
  <c r="AI142"/>
  <c r="AG142"/>
  <c r="AE142"/>
  <c r="AC142"/>
  <c r="AB142"/>
  <c r="Z142" s="1"/>
  <c r="AA142"/>
  <c r="W142"/>
  <c r="T142"/>
  <c r="K142"/>
  <c r="AI141"/>
  <c r="AG141"/>
  <c r="AB141"/>
  <c r="AA141"/>
  <c r="Z141"/>
  <c r="W141"/>
  <c r="T141"/>
  <c r="K141"/>
  <c r="AC141" s="1"/>
  <c r="AE141" s="1"/>
  <c r="AI140"/>
  <c r="AG140"/>
  <c r="AC140"/>
  <c r="AB140"/>
  <c r="AA140"/>
  <c r="Z140" s="1"/>
  <c r="W140"/>
  <c r="T140"/>
  <c r="AI139"/>
  <c r="AH139"/>
  <c r="AG139"/>
  <c r="AB139"/>
  <c r="Z139" s="1"/>
  <c r="AA139"/>
  <c r="W139"/>
  <c r="T139"/>
  <c r="K139"/>
  <c r="AC139" s="1"/>
  <c r="AI138"/>
  <c r="AG138"/>
  <c r="AC138"/>
  <c r="AB138"/>
  <c r="AA138"/>
  <c r="Z138" s="1"/>
  <c r="W138"/>
  <c r="T138"/>
  <c r="AI137"/>
  <c r="AG137"/>
  <c r="AC137"/>
  <c r="AA137"/>
  <c r="Y137"/>
  <c r="AB137" s="1"/>
  <c r="T137"/>
  <c r="AI136"/>
  <c r="AG136"/>
  <c r="AC136"/>
  <c r="AB136"/>
  <c r="AA136"/>
  <c r="Z136"/>
  <c r="W136"/>
  <c r="T136"/>
  <c r="AI135"/>
  <c r="AG135"/>
  <c r="AC135"/>
  <c r="AB135"/>
  <c r="AA135"/>
  <c r="Z135"/>
  <c r="W135"/>
  <c r="T135"/>
  <c r="AI134"/>
  <c r="AG134"/>
  <c r="AC134"/>
  <c r="AB134"/>
  <c r="AA134"/>
  <c r="Z134"/>
  <c r="W134"/>
  <c r="T134"/>
  <c r="AG133"/>
  <c r="AB133"/>
  <c r="X133"/>
  <c r="AA133" s="1"/>
  <c r="Z133" s="1"/>
  <c r="W133"/>
  <c r="U133"/>
  <c r="T133"/>
  <c r="K133"/>
  <c r="AC133" s="1"/>
  <c r="AI132"/>
  <c r="AG132"/>
  <c r="AC132"/>
  <c r="AB132"/>
  <c r="AA132"/>
  <c r="Z132" s="1"/>
  <c r="W132"/>
  <c r="T132"/>
  <c r="AG131"/>
  <c r="AC131"/>
  <c r="AB131"/>
  <c r="AA131"/>
  <c r="Z131" s="1"/>
  <c r="W131"/>
  <c r="T131"/>
  <c r="K131"/>
  <c r="AI131" s="1"/>
  <c r="AG130"/>
  <c r="AC130"/>
  <c r="AB130"/>
  <c r="AA130"/>
  <c r="Z130"/>
  <c r="W130"/>
  <c r="T130"/>
  <c r="K130"/>
  <c r="AI130" s="1"/>
  <c r="AG129"/>
  <c r="AB129"/>
  <c r="AA129"/>
  <c r="Z129" s="1"/>
  <c r="W129"/>
  <c r="T129"/>
  <c r="K129"/>
  <c r="AI129" s="1"/>
  <c r="AG128"/>
  <c r="AB128"/>
  <c r="Z128" s="1"/>
  <c r="AA128"/>
  <c r="W128"/>
  <c r="T128"/>
  <c r="K128"/>
  <c r="AI128" s="1"/>
  <c r="AG127"/>
  <c r="AC127"/>
  <c r="AB127"/>
  <c r="AA127"/>
  <c r="Z127" s="1"/>
  <c r="W127"/>
  <c r="T127"/>
  <c r="K127"/>
  <c r="AI127" s="1"/>
  <c r="AG126"/>
  <c r="AB126"/>
  <c r="AA126"/>
  <c r="Z126"/>
  <c r="W126"/>
  <c r="T126"/>
  <c r="K126"/>
  <c r="AC126" s="1"/>
  <c r="AG125"/>
  <c r="AB125"/>
  <c r="AA125"/>
  <c r="Z125" s="1"/>
  <c r="W125"/>
  <c r="T125"/>
  <c r="K125"/>
  <c r="AI125" s="1"/>
  <c r="AG124"/>
  <c r="AB124"/>
  <c r="Z124" s="1"/>
  <c r="AA124"/>
  <c r="W124"/>
  <c r="T124"/>
  <c r="K124"/>
  <c r="AI124" s="1"/>
  <c r="AG123"/>
  <c r="AC123"/>
  <c r="AB123"/>
  <c r="AA123"/>
  <c r="Z123" s="1"/>
  <c r="W123"/>
  <c r="T123"/>
  <c r="K123"/>
  <c r="AI123" s="1"/>
  <c r="AG122"/>
  <c r="AB122"/>
  <c r="AA122"/>
  <c r="Z122"/>
  <c r="W122"/>
  <c r="T122"/>
  <c r="K122"/>
  <c r="AC122" s="1"/>
  <c r="AI121"/>
  <c r="AH121"/>
  <c r="AB121"/>
  <c r="Y121"/>
  <c r="X121"/>
  <c r="AA121" s="1"/>
  <c r="Z121" s="1"/>
  <c r="U121"/>
  <c r="T121" s="1"/>
  <c r="S121"/>
  <c r="K121"/>
  <c r="AC121" s="1"/>
  <c r="AI120"/>
  <c r="AH120"/>
  <c r="AG120"/>
  <c r="AC120"/>
  <c r="AB120"/>
  <c r="AA120"/>
  <c r="Z120"/>
  <c r="W120"/>
  <c r="T120"/>
  <c r="K120"/>
  <c r="AG119"/>
  <c r="AB119"/>
  <c r="AA119"/>
  <c r="Z119" s="1"/>
  <c r="W119"/>
  <c r="T119"/>
  <c r="K119"/>
  <c r="AI119" s="1"/>
  <c r="AI118"/>
  <c r="AG118"/>
  <c r="AC118"/>
  <c r="AB118"/>
  <c r="Z118" s="1"/>
  <c r="AA118"/>
  <c r="W118"/>
  <c r="T118"/>
  <c r="AG117"/>
  <c r="AB117"/>
  <c r="Z117" s="1"/>
  <c r="AA117"/>
  <c r="W117"/>
  <c r="T117"/>
  <c r="K117"/>
  <c r="AI117" s="1"/>
  <c r="AH116"/>
  <c r="AG116"/>
  <c r="AB116"/>
  <c r="AA116"/>
  <c r="Z116" s="1"/>
  <c r="W116"/>
  <c r="T116"/>
  <c r="K116"/>
  <c r="AH115"/>
  <c r="AI115" s="1"/>
  <c r="AG115"/>
  <c r="AC115"/>
  <c r="AB115"/>
  <c r="AA115"/>
  <c r="Z115" s="1"/>
  <c r="W115"/>
  <c r="T115"/>
  <c r="K115"/>
  <c r="AH114"/>
  <c r="AI114" s="1"/>
  <c r="AG114"/>
  <c r="AB114"/>
  <c r="AA114"/>
  <c r="Z114" s="1"/>
  <c r="W114"/>
  <c r="T114"/>
  <c r="K114"/>
  <c r="AC114" s="1"/>
  <c r="AH113"/>
  <c r="AI113" s="1"/>
  <c r="AB113"/>
  <c r="X113"/>
  <c r="W113" s="1"/>
  <c r="T113"/>
  <c r="K113"/>
  <c r="AI112"/>
  <c r="AH112"/>
  <c r="AG112"/>
  <c r="AB112"/>
  <c r="Z112" s="1"/>
  <c r="AA112"/>
  <c r="W112"/>
  <c r="T112"/>
  <c r="K112"/>
  <c r="AC112" s="1"/>
  <c r="AG111"/>
  <c r="AC111"/>
  <c r="AB111"/>
  <c r="AA111"/>
  <c r="Z111" s="1"/>
  <c r="W111"/>
  <c r="T111"/>
  <c r="K111"/>
  <c r="AI111" s="1"/>
  <c r="AI110"/>
  <c r="AG110"/>
  <c r="AC110"/>
  <c r="AB110"/>
  <c r="AA110"/>
  <c r="Z110"/>
  <c r="W110"/>
  <c r="T110"/>
  <c r="AH109"/>
  <c r="AI109" s="1"/>
  <c r="AG109"/>
  <c r="AC109"/>
  <c r="AB109"/>
  <c r="AA109"/>
  <c r="Z109" s="1"/>
  <c r="W109"/>
  <c r="T109"/>
  <c r="AG108"/>
  <c r="AB108"/>
  <c r="AA108"/>
  <c r="Z108" s="1"/>
  <c r="W108"/>
  <c r="T108"/>
  <c r="K108"/>
  <c r="AI108" s="1"/>
  <c r="AG107"/>
  <c r="AB107"/>
  <c r="Z107" s="1"/>
  <c r="AA107"/>
  <c r="W107"/>
  <c r="T107"/>
  <c r="K107"/>
  <c r="AI107" s="1"/>
  <c r="AI106"/>
  <c r="AG106"/>
  <c r="AC106"/>
  <c r="AB106"/>
  <c r="AA106"/>
  <c r="Z106" s="1"/>
  <c r="W106"/>
  <c r="T106"/>
  <c r="AI105"/>
  <c r="AG105"/>
  <c r="AB105"/>
  <c r="AA105"/>
  <c r="Z105"/>
  <c r="W105"/>
  <c r="T105"/>
  <c r="K105"/>
  <c r="AC105" s="1"/>
  <c r="AE105" s="1"/>
  <c r="AG104"/>
  <c r="AB104"/>
  <c r="AA104"/>
  <c r="Z104" s="1"/>
  <c r="W104"/>
  <c r="T104"/>
  <c r="K104"/>
  <c r="AI104" s="1"/>
  <c r="AG103"/>
  <c r="AB103"/>
  <c r="Z103" s="1"/>
  <c r="AA103"/>
  <c r="W103"/>
  <c r="T103"/>
  <c r="K103"/>
  <c r="AI103" s="1"/>
  <c r="AI102"/>
  <c r="AG102"/>
  <c r="AC102"/>
  <c r="AB102"/>
  <c r="AA102"/>
  <c r="Z102" s="1"/>
  <c r="W102"/>
  <c r="T102"/>
  <c r="AG101"/>
  <c r="AC101"/>
  <c r="AB101"/>
  <c r="AA101"/>
  <c r="Z101" s="1"/>
  <c r="W101"/>
  <c r="T101"/>
  <c r="K101"/>
  <c r="AI101" s="1"/>
  <c r="AI100"/>
  <c r="AG100"/>
  <c r="AC100"/>
  <c r="AE100" s="1"/>
  <c r="AB100"/>
  <c r="AA100"/>
  <c r="Z100" s="1"/>
  <c r="W100"/>
  <c r="T100"/>
  <c r="AI99"/>
  <c r="AG99"/>
  <c r="AC99"/>
  <c r="AB99"/>
  <c r="AA99"/>
  <c r="Z99" s="1"/>
  <c r="W99"/>
  <c r="T99"/>
  <c r="AI98"/>
  <c r="AH98"/>
  <c r="AG98"/>
  <c r="AC98"/>
  <c r="AB98"/>
  <c r="Z98" s="1"/>
  <c r="AA98"/>
  <c r="W98"/>
  <c r="T98"/>
  <c r="AI97"/>
  <c r="AG97"/>
  <c r="AC97"/>
  <c r="AB97"/>
  <c r="Z97" s="1"/>
  <c r="AA97"/>
  <c r="W97"/>
  <c r="T97"/>
  <c r="S97"/>
  <c r="AI96"/>
  <c r="AG96"/>
  <c r="AC96"/>
  <c r="AB96"/>
  <c r="AA96"/>
  <c r="Z96" s="1"/>
  <c r="W96"/>
  <c r="T96"/>
  <c r="AI95"/>
  <c r="AH95"/>
  <c r="AG95"/>
  <c r="AB95"/>
  <c r="AA95"/>
  <c r="Z95"/>
  <c r="W95"/>
  <c r="T95"/>
  <c r="K95"/>
  <c r="AC95" s="1"/>
  <c r="AI94"/>
  <c r="AH94"/>
  <c r="AG94"/>
  <c r="AB94"/>
  <c r="Z94" s="1"/>
  <c r="AA94"/>
  <c r="W94"/>
  <c r="T94"/>
  <c r="K94"/>
  <c r="AC94" s="1"/>
  <c r="AI93"/>
  <c r="AG93"/>
  <c r="AB93"/>
  <c r="AA93"/>
  <c r="Z93"/>
  <c r="W93"/>
  <c r="T93"/>
  <c r="K93"/>
  <c r="AC93" s="1"/>
  <c r="AE93" s="1"/>
  <c r="AI92"/>
  <c r="AB92"/>
  <c r="X92"/>
  <c r="W92" s="1"/>
  <c r="U92"/>
  <c r="AG92" s="1"/>
  <c r="AI91"/>
  <c r="AG91"/>
  <c r="AB91"/>
  <c r="AA91"/>
  <c r="Z91"/>
  <c r="W91"/>
  <c r="T91"/>
  <c r="AB90"/>
  <c r="W90"/>
  <c r="S90"/>
  <c r="K90"/>
  <c r="AC90" s="1"/>
  <c r="AB89"/>
  <c r="S89"/>
  <c r="K89"/>
  <c r="AB88"/>
  <c r="X88"/>
  <c r="W88" s="1"/>
  <c r="S88"/>
  <c r="K88"/>
  <c r="AI87"/>
  <c r="AH87"/>
  <c r="AB87"/>
  <c r="X87"/>
  <c r="S87"/>
  <c r="AD87" s="1"/>
  <c r="K87"/>
  <c r="AI86"/>
  <c r="AG86"/>
  <c r="AE86"/>
  <c r="AC86"/>
  <c r="AB86"/>
  <c r="AA86"/>
  <c r="Z86"/>
  <c r="W86"/>
  <c r="T86"/>
  <c r="AI85"/>
  <c r="AG85"/>
  <c r="AC85"/>
  <c r="AE85" s="1"/>
  <c r="AB85"/>
  <c r="AA85"/>
  <c r="Z85" s="1"/>
  <c r="W85"/>
  <c r="T85"/>
  <c r="AB84"/>
  <c r="K84"/>
  <c r="AB83"/>
  <c r="K83"/>
  <c r="AB82"/>
  <c r="K82"/>
  <c r="X84" s="1"/>
  <c r="AB81"/>
  <c r="K81"/>
  <c r="AB80"/>
  <c r="K80"/>
  <c r="AH79"/>
  <c r="AI79" s="1"/>
  <c r="AB79"/>
  <c r="K79"/>
  <c r="X80" s="1"/>
  <c r="AI78"/>
  <c r="AG78"/>
  <c r="AC78"/>
  <c r="AE78" s="1"/>
  <c r="AB78"/>
  <c r="AA78"/>
  <c r="Z78" s="1"/>
  <c r="W78"/>
  <c r="T78"/>
  <c r="AI77"/>
  <c r="AG77"/>
  <c r="AE77"/>
  <c r="AC77"/>
  <c r="AB77"/>
  <c r="AA77"/>
  <c r="Z77"/>
  <c r="W77"/>
  <c r="T77"/>
  <c r="AI76"/>
  <c r="AG76"/>
  <c r="AC76"/>
  <c r="AB76"/>
  <c r="AA76"/>
  <c r="Z76"/>
  <c r="W76"/>
  <c r="T76"/>
  <c r="AG75"/>
  <c r="AB75"/>
  <c r="X75"/>
  <c r="AA75" s="1"/>
  <c r="Z75" s="1"/>
  <c r="W75"/>
  <c r="U75"/>
  <c r="T75"/>
  <c r="S75"/>
  <c r="K75"/>
  <c r="AC75" s="1"/>
  <c r="AI74"/>
  <c r="AG74"/>
  <c r="AC74"/>
  <c r="AE74" s="1"/>
  <c r="AB74"/>
  <c r="AA74"/>
  <c r="Z74" s="1"/>
  <c r="W74"/>
  <c r="T74"/>
  <c r="AI73"/>
  <c r="AG73"/>
  <c r="AC73"/>
  <c r="AB73"/>
  <c r="AA73"/>
  <c r="Z73" s="1"/>
  <c r="W73"/>
  <c r="T73"/>
  <c r="AI72"/>
  <c r="AG72"/>
  <c r="AE72"/>
  <c r="AC72"/>
  <c r="AB72"/>
  <c r="Z72" s="1"/>
  <c r="AA72"/>
  <c r="W72"/>
  <c r="T72"/>
  <c r="AI71"/>
  <c r="AG71"/>
  <c r="AC71"/>
  <c r="AE71" s="1"/>
  <c r="AB71"/>
  <c r="AA71"/>
  <c r="Z71" s="1"/>
  <c r="W71"/>
  <c r="T71"/>
  <c r="AI70"/>
  <c r="AG70"/>
  <c r="AE70"/>
  <c r="AC70"/>
  <c r="AB70"/>
  <c r="AA70"/>
  <c r="Z70"/>
  <c r="W70"/>
  <c r="T70"/>
  <c r="AI69"/>
  <c r="AG69"/>
  <c r="AC69"/>
  <c r="AE69" s="1"/>
  <c r="AB69"/>
  <c r="AA69"/>
  <c r="Z69" s="1"/>
  <c r="W69"/>
  <c r="T69"/>
  <c r="AI68"/>
  <c r="AG68"/>
  <c r="AE68"/>
  <c r="AC68"/>
  <c r="AB68"/>
  <c r="Z68" s="1"/>
  <c r="AA68"/>
  <c r="W68"/>
  <c r="T68"/>
  <c r="AH67"/>
  <c r="AG67"/>
  <c r="AB67"/>
  <c r="AA67"/>
  <c r="Z67"/>
  <c r="W67"/>
  <c r="T67"/>
  <c r="AI66"/>
  <c r="AG66"/>
  <c r="AE66"/>
  <c r="AC66"/>
  <c r="AB66"/>
  <c r="Z66" s="1"/>
  <c r="AA66"/>
  <c r="W66"/>
  <c r="T66"/>
  <c r="AI65"/>
  <c r="AG65"/>
  <c r="AC65"/>
  <c r="AE65" s="1"/>
  <c r="AB65"/>
  <c r="AA65"/>
  <c r="Z65" s="1"/>
  <c r="W65"/>
  <c r="T65"/>
  <c r="AI64"/>
  <c r="AG64"/>
  <c r="AC64"/>
  <c r="AB64"/>
  <c r="AA64"/>
  <c r="Z64" s="1"/>
  <c r="W64"/>
  <c r="T64"/>
  <c r="AG63"/>
  <c r="AB63"/>
  <c r="AA63"/>
  <c r="Z63"/>
  <c r="W63"/>
  <c r="T63"/>
  <c r="S63"/>
  <c r="K63"/>
  <c r="AC63" s="1"/>
  <c r="AG62"/>
  <c r="AB62"/>
  <c r="Z62" s="1"/>
  <c r="AA62"/>
  <c r="W62"/>
  <c r="T62"/>
  <c r="S62"/>
  <c r="K62"/>
  <c r="AI62" s="1"/>
  <c r="AG61"/>
  <c r="AB61"/>
  <c r="AA61"/>
  <c r="Z61" s="1"/>
  <c r="W61"/>
  <c r="T61"/>
  <c r="K61"/>
  <c r="AG60"/>
  <c r="AC60"/>
  <c r="AB60"/>
  <c r="AA60"/>
  <c r="Z60" s="1"/>
  <c r="W60"/>
  <c r="T60"/>
  <c r="K60"/>
  <c r="AI60" s="1"/>
  <c r="AH59"/>
  <c r="AI59" s="1"/>
  <c r="AB59"/>
  <c r="X59"/>
  <c r="W59" s="1"/>
  <c r="U59"/>
  <c r="AG59" s="1"/>
  <c r="K59"/>
  <c r="AC59" s="1"/>
  <c r="AI58"/>
  <c r="AG58"/>
  <c r="AC58"/>
  <c r="AB58"/>
  <c r="AA58"/>
  <c r="Z58"/>
  <c r="W58"/>
  <c r="T58"/>
  <c r="AI57"/>
  <c r="AG57"/>
  <c r="AC57"/>
  <c r="AE57" s="1"/>
  <c r="AB57"/>
  <c r="AA57"/>
  <c r="Z57" s="1"/>
  <c r="W57"/>
  <c r="T57"/>
  <c r="AI56"/>
  <c r="AG56"/>
  <c r="AB56"/>
  <c r="Z56" s="1"/>
  <c r="AA56"/>
  <c r="W56"/>
  <c r="T56"/>
  <c r="K56"/>
  <c r="AC56" s="1"/>
  <c r="AE56" s="1"/>
  <c r="AI55"/>
  <c r="AH55"/>
  <c r="AG55"/>
  <c r="AB55"/>
  <c r="X55"/>
  <c r="W55"/>
  <c r="T55"/>
  <c r="AI54"/>
  <c r="AG54"/>
  <c r="AE54"/>
  <c r="AC54"/>
  <c r="AB54"/>
  <c r="Z54" s="1"/>
  <c r="AA54"/>
  <c r="W54"/>
  <c r="T54"/>
  <c r="AG53"/>
  <c r="AC53"/>
  <c r="AB53"/>
  <c r="AA53"/>
  <c r="Z53" s="1"/>
  <c r="W53"/>
  <c r="T53"/>
  <c r="K53"/>
  <c r="AI53" s="1"/>
  <c r="AI52"/>
  <c r="AG52"/>
  <c r="AC52"/>
  <c r="AE52" s="1"/>
  <c r="AB52"/>
  <c r="AA52"/>
  <c r="Z52" s="1"/>
  <c r="W52"/>
  <c r="T52"/>
  <c r="AI51"/>
  <c r="AG51"/>
  <c r="AE51"/>
  <c r="AC51"/>
  <c r="AB51"/>
  <c r="Z51" s="1"/>
  <c r="AA51"/>
  <c r="W51"/>
  <c r="T51"/>
  <c r="AI50"/>
  <c r="AG50"/>
  <c r="AC50"/>
  <c r="AE50" s="1"/>
  <c r="AB50"/>
  <c r="AA50"/>
  <c r="Z50" s="1"/>
  <c r="W50"/>
  <c r="T50"/>
  <c r="AI49"/>
  <c r="AG49"/>
  <c r="AE49"/>
  <c r="AC49"/>
  <c r="AB49"/>
  <c r="AA49"/>
  <c r="Z49"/>
  <c r="W49"/>
  <c r="T49"/>
  <c r="AH48"/>
  <c r="AI48" s="1"/>
  <c r="AG48"/>
  <c r="AE48"/>
  <c r="AC48"/>
  <c r="AB48"/>
  <c r="AA48"/>
  <c r="W48"/>
  <c r="T48"/>
  <c r="AG47"/>
  <c r="AC47"/>
  <c r="AB47"/>
  <c r="AA47"/>
  <c r="W47"/>
  <c r="T47"/>
  <c r="K47"/>
  <c r="AI47" s="1"/>
  <c r="AH46"/>
  <c r="AI46" s="1"/>
  <c r="AG46"/>
  <c r="AB46"/>
  <c r="AA46"/>
  <c r="Z46" s="1"/>
  <c r="W46"/>
  <c r="T46"/>
  <c r="K46"/>
  <c r="AC46" s="1"/>
  <c r="AG45"/>
  <c r="AC45"/>
  <c r="AB45"/>
  <c r="AA45"/>
  <c r="Z45" s="1"/>
  <c r="W45"/>
  <c r="T45"/>
  <c r="K45"/>
  <c r="AI45" s="1"/>
  <c r="AH44"/>
  <c r="AI44" s="1"/>
  <c r="AG44"/>
  <c r="AB44"/>
  <c r="AA44"/>
  <c r="Z44" s="1"/>
  <c r="W44"/>
  <c r="T44"/>
  <c r="K44"/>
  <c r="AC44" s="1"/>
  <c r="AH43"/>
  <c r="AI43" s="1"/>
  <c r="AG43"/>
  <c r="AC43"/>
  <c r="AB43"/>
  <c r="AA43"/>
  <c r="Z43" s="1"/>
  <c r="W43"/>
  <c r="T43"/>
  <c r="AI42"/>
  <c r="AH42"/>
  <c r="AG42"/>
  <c r="AC42"/>
  <c r="AE42" s="1"/>
  <c r="AB42"/>
  <c r="AA42"/>
  <c r="Z42" s="1"/>
  <c r="W42"/>
  <c r="T42"/>
  <c r="AI41"/>
  <c r="AG41"/>
  <c r="AE41"/>
  <c r="AC41"/>
  <c r="AB41"/>
  <c r="Z41" s="1"/>
  <c r="AA41"/>
  <c r="W41"/>
  <c r="T41"/>
  <c r="AI40"/>
  <c r="AG40"/>
  <c r="AC40"/>
  <c r="AE40" s="1"/>
  <c r="AB40"/>
  <c r="AA40"/>
  <c r="Z40" s="1"/>
  <c r="W40"/>
  <c r="T40"/>
  <c r="AI39"/>
  <c r="AH39"/>
  <c r="AG39"/>
  <c r="AC39"/>
  <c r="AB39"/>
  <c r="AA39"/>
  <c r="Z39"/>
  <c r="W39"/>
  <c r="T39"/>
  <c r="S39"/>
  <c r="AI38"/>
  <c r="AH38"/>
  <c r="AG38"/>
  <c r="AB38"/>
  <c r="Z38" s="1"/>
  <c r="AA38"/>
  <c r="W38"/>
  <c r="T38"/>
  <c r="K38"/>
  <c r="AC38" s="1"/>
  <c r="AI37"/>
  <c r="AH37"/>
  <c r="AG37"/>
  <c r="AC37"/>
  <c r="AB37"/>
  <c r="AA37"/>
  <c r="Z37"/>
  <c r="W37"/>
  <c r="T37"/>
  <c r="AH36"/>
  <c r="AI36" s="1"/>
  <c r="AG36"/>
  <c r="AC36"/>
  <c r="AB36"/>
  <c r="AA36"/>
  <c r="Z36" s="1"/>
  <c r="W36"/>
  <c r="T36"/>
  <c r="AI35"/>
  <c r="AG35"/>
  <c r="AE35"/>
  <c r="AC35"/>
  <c r="AB35"/>
  <c r="Z35" s="1"/>
  <c r="AA35"/>
  <c r="W35"/>
  <c r="T35"/>
  <c r="AG34"/>
  <c r="AC34"/>
  <c r="AB34"/>
  <c r="AA34"/>
  <c r="Z34" s="1"/>
  <c r="W34"/>
  <c r="T34"/>
  <c r="K34"/>
  <c r="AI34" s="1"/>
  <c r="AG33"/>
  <c r="AC33"/>
  <c r="AE33" s="1"/>
  <c r="AB33"/>
  <c r="AA33"/>
  <c r="Z33"/>
  <c r="W33"/>
  <c r="T33"/>
  <c r="AH32"/>
  <c r="AI32" s="1"/>
  <c r="AB32"/>
  <c r="X32"/>
  <c r="U32"/>
  <c r="AG32" s="1"/>
  <c r="AI31"/>
  <c r="AG31"/>
  <c r="AE31"/>
  <c r="AC31"/>
  <c r="AB31"/>
  <c r="AA31"/>
  <c r="Z31"/>
  <c r="W31"/>
  <c r="T31"/>
  <c r="AH30"/>
  <c r="AI30" s="1"/>
  <c r="AG30"/>
  <c r="AB30"/>
  <c r="AA30"/>
  <c r="Z30" s="1"/>
  <c r="W30"/>
  <c r="T30"/>
  <c r="K30"/>
  <c r="AC30" s="1"/>
  <c r="AH29"/>
  <c r="AI29" s="1"/>
  <c r="AB29"/>
  <c r="X29"/>
  <c r="W29" s="1"/>
  <c r="U29"/>
  <c r="AG29" s="1"/>
  <c r="S29"/>
  <c r="K29"/>
  <c r="AI28"/>
  <c r="AH28"/>
  <c r="AG28"/>
  <c r="AC28"/>
  <c r="AE28" s="1"/>
  <c r="AB28"/>
  <c r="AA28"/>
  <c r="Z28" s="1"/>
  <c r="W28"/>
  <c r="T28"/>
  <c r="AI27"/>
  <c r="AH27"/>
  <c r="AG27"/>
  <c r="AC27"/>
  <c r="AB27"/>
  <c r="Z27" s="1"/>
  <c r="AA27"/>
  <c r="W27"/>
  <c r="T27"/>
  <c r="AH26"/>
  <c r="AI26" s="1"/>
  <c r="AG26"/>
  <c r="AC26"/>
  <c r="AB26"/>
  <c r="AA26"/>
  <c r="Z26" s="1"/>
  <c r="W26"/>
  <c r="T26"/>
  <c r="AI25"/>
  <c r="AG25"/>
  <c r="AB25"/>
  <c r="AA25"/>
  <c r="Z25"/>
  <c r="W25"/>
  <c r="T25"/>
  <c r="K25"/>
  <c r="AC25" s="1"/>
  <c r="AE25" s="1"/>
  <c r="AI24"/>
  <c r="AG24"/>
  <c r="AB24"/>
  <c r="Z24" s="1"/>
  <c r="AA24"/>
  <c r="W24"/>
  <c r="T24"/>
  <c r="K24"/>
  <c r="AC24" s="1"/>
  <c r="AE24" s="1"/>
  <c r="AI23"/>
  <c r="AG23"/>
  <c r="AB23"/>
  <c r="AA23"/>
  <c r="Z23"/>
  <c r="W23"/>
  <c r="T23"/>
  <c r="K23"/>
  <c r="AC23" s="1"/>
  <c r="AE23" s="1"/>
  <c r="K82" i="7"/>
  <c r="K139"/>
  <c r="K115"/>
  <c r="K112"/>
  <c r="K95"/>
  <c r="K59"/>
  <c r="K38"/>
  <c r="K30"/>
  <c r="AH120"/>
  <c r="AH98"/>
  <c r="AH30"/>
  <c r="AH79"/>
  <c r="AH87"/>
  <c r="AH37"/>
  <c r="AH26"/>
  <c r="AH139"/>
  <c r="AH27"/>
  <c r="AH28"/>
  <c r="AH29"/>
  <c r="AH121"/>
  <c r="Z144" i="8" l="1"/>
  <c r="AA84"/>
  <c r="Z84" s="1"/>
  <c r="W84"/>
  <c r="AB143"/>
  <c r="AC80"/>
  <c r="AC84"/>
  <c r="W80"/>
  <c r="AE61"/>
  <c r="AB167"/>
  <c r="AB168" s="1"/>
  <c r="Z137"/>
  <c r="Z183"/>
  <c r="AA29"/>
  <c r="Z29" s="1"/>
  <c r="AC32"/>
  <c r="Z48"/>
  <c r="AC61"/>
  <c r="AI63"/>
  <c r="S81"/>
  <c r="X81"/>
  <c r="U83"/>
  <c r="AC88"/>
  <c r="AC92"/>
  <c r="AC104"/>
  <c r="AC108"/>
  <c r="AA113"/>
  <c r="Z113" s="1"/>
  <c r="AC116"/>
  <c r="AE116" s="1"/>
  <c r="AI116"/>
  <c r="AC119"/>
  <c r="AG121"/>
  <c r="AC125"/>
  <c r="AC129"/>
  <c r="AH143"/>
  <c r="T29"/>
  <c r="W32"/>
  <c r="AE34"/>
  <c r="AE45"/>
  <c r="Z47"/>
  <c r="AE47"/>
  <c r="AE53"/>
  <c r="AA55"/>
  <c r="Z55" s="1"/>
  <c r="AE60"/>
  <c r="AI61"/>
  <c r="AC62"/>
  <c r="K67"/>
  <c r="AI75"/>
  <c r="S79"/>
  <c r="X79"/>
  <c r="AC79"/>
  <c r="U80"/>
  <c r="S82"/>
  <c r="X82"/>
  <c r="AC82"/>
  <c r="U84"/>
  <c r="X89"/>
  <c r="U89" s="1"/>
  <c r="AC103"/>
  <c r="AC107"/>
  <c r="AG113"/>
  <c r="AC117"/>
  <c r="AI122"/>
  <c r="AC124"/>
  <c r="AI126"/>
  <c r="AC128"/>
  <c r="AI133"/>
  <c r="K143"/>
  <c r="K167"/>
  <c r="AI167" s="1"/>
  <c r="AH168"/>
  <c r="AC29"/>
  <c r="AA32"/>
  <c r="Z32" s="1"/>
  <c r="AA59"/>
  <c r="Z59" s="1"/>
  <c r="AE63"/>
  <c r="U81"/>
  <c r="S83"/>
  <c r="X83"/>
  <c r="AC87"/>
  <c r="AA92"/>
  <c r="Z92" s="1"/>
  <c r="AC113"/>
  <c r="Y143"/>
  <c r="Y167" s="1"/>
  <c r="Y168" s="1"/>
  <c r="T32"/>
  <c r="AC55"/>
  <c r="T59"/>
  <c r="U79"/>
  <c r="S80"/>
  <c r="U82"/>
  <c r="S84"/>
  <c r="W87"/>
  <c r="T92"/>
  <c r="W121"/>
  <c r="W137"/>
  <c r="W183"/>
  <c r="AH32" i="7"/>
  <c r="AI32" s="1"/>
  <c r="AH44"/>
  <c r="AH48"/>
  <c r="AI48" s="1"/>
  <c r="AH43"/>
  <c r="AI43" s="1"/>
  <c r="AH46"/>
  <c r="AH113"/>
  <c r="AH109"/>
  <c r="AI109" s="1"/>
  <c r="AH39"/>
  <c r="AI39" s="1"/>
  <c r="AH116"/>
  <c r="K114"/>
  <c r="K116"/>
  <c r="AH115"/>
  <c r="AH95"/>
  <c r="AI95" s="1"/>
  <c r="AH94"/>
  <c r="AH59"/>
  <c r="AI59" s="1"/>
  <c r="AH114"/>
  <c r="AH55"/>
  <c r="AI55" s="1"/>
  <c r="AH112"/>
  <c r="AI112" s="1"/>
  <c r="AH38"/>
  <c r="AI38" s="1"/>
  <c r="AH36"/>
  <c r="AI36" s="1"/>
  <c r="AI37"/>
  <c r="AH42"/>
  <c r="AI42" s="1"/>
  <c r="AI166"/>
  <c r="AI165"/>
  <c r="AI164"/>
  <c r="AI163"/>
  <c r="AI162"/>
  <c r="AI161"/>
  <c r="AI160"/>
  <c r="AI159"/>
  <c r="AI140"/>
  <c r="AI139"/>
  <c r="AI138"/>
  <c r="AI137"/>
  <c r="AI136"/>
  <c r="AI135"/>
  <c r="AI134"/>
  <c r="AI132"/>
  <c r="AI118"/>
  <c r="AI110"/>
  <c r="AI106"/>
  <c r="AI102"/>
  <c r="AI100"/>
  <c r="AI99"/>
  <c r="AI98"/>
  <c r="AI97"/>
  <c r="AI96"/>
  <c r="AI92"/>
  <c r="AI86"/>
  <c r="AI85"/>
  <c r="AI78"/>
  <c r="AI77"/>
  <c r="AI76"/>
  <c r="AI74"/>
  <c r="AI73"/>
  <c r="AI72"/>
  <c r="AI71"/>
  <c r="AI70"/>
  <c r="AI69"/>
  <c r="AI68"/>
  <c r="AI66"/>
  <c r="AI65"/>
  <c r="AI64"/>
  <c r="AI58"/>
  <c r="AI57"/>
  <c r="AI54"/>
  <c r="AI52"/>
  <c r="AI51"/>
  <c r="AI50"/>
  <c r="AI49"/>
  <c r="AI41"/>
  <c r="AI40"/>
  <c r="AI35"/>
  <c r="AI31"/>
  <c r="AI30"/>
  <c r="AI28"/>
  <c r="AI27"/>
  <c r="AI26"/>
  <c r="AH167"/>
  <c r="AH67"/>
  <c r="AG89" i="8" l="1"/>
  <c r="T89"/>
  <c r="AC67"/>
  <c r="AE67" s="1"/>
  <c r="K188"/>
  <c r="K189" s="1"/>
  <c r="AG79"/>
  <c r="T79"/>
  <c r="W83"/>
  <c r="AC83"/>
  <c r="AA83"/>
  <c r="Z83" s="1"/>
  <c r="H177"/>
  <c r="K168"/>
  <c r="AG84"/>
  <c r="T84"/>
  <c r="AG80"/>
  <c r="T80"/>
  <c r="U87"/>
  <c r="AI67"/>
  <c r="AA80"/>
  <c r="Z80" s="1"/>
  <c r="AA89"/>
  <c r="Z89" s="1"/>
  <c r="W89"/>
  <c r="S167"/>
  <c r="S168" s="1"/>
  <c r="S143"/>
  <c r="AD79"/>
  <c r="AA81"/>
  <c r="Z81" s="1"/>
  <c r="W81"/>
  <c r="W143" s="1"/>
  <c r="AC81"/>
  <c r="AG82"/>
  <c r="T82"/>
  <c r="Y185"/>
  <c r="Y184"/>
  <c r="AB184" s="1"/>
  <c r="AG81"/>
  <c r="T81"/>
  <c r="AA82"/>
  <c r="Z82" s="1"/>
  <c r="W82"/>
  <c r="AA79"/>
  <c r="Z79" s="1"/>
  <c r="W79"/>
  <c r="AG83"/>
  <c r="T83"/>
  <c r="AC89"/>
  <c r="U88"/>
  <c r="AI143"/>
  <c r="U90"/>
  <c r="X143"/>
  <c r="X184" s="1"/>
  <c r="AI116" i="7"/>
  <c r="AI114"/>
  <c r="AI115"/>
  <c r="AH143"/>
  <c r="T87" i="8" l="1"/>
  <c r="AG87"/>
  <c r="U143"/>
  <c r="U167" s="1"/>
  <c r="AA87"/>
  <c r="X167"/>
  <c r="AG90"/>
  <c r="AA90"/>
  <c r="Z90" s="1"/>
  <c r="T90"/>
  <c r="AB185"/>
  <c r="Z185" s="1"/>
  <c r="W185"/>
  <c r="W184"/>
  <c r="AG88"/>
  <c r="T88"/>
  <c r="AA88"/>
  <c r="Z88" s="1"/>
  <c r="W168"/>
  <c r="W167"/>
  <c r="AC143"/>
  <c r="AI168"/>
  <c r="AH168" i="7"/>
  <c r="K158"/>
  <c r="AI158" s="1"/>
  <c r="H158"/>
  <c r="K155"/>
  <c r="AI155" s="1"/>
  <c r="K154"/>
  <c r="AI154" s="1"/>
  <c r="H154"/>
  <c r="H155"/>
  <c r="K157"/>
  <c r="AI157" s="1"/>
  <c r="H157"/>
  <c r="K153"/>
  <c r="AI153" s="1"/>
  <c r="H153"/>
  <c r="K145"/>
  <c r="AI145" s="1"/>
  <c r="H145"/>
  <c r="K117"/>
  <c r="AI117" s="1"/>
  <c r="K91"/>
  <c r="AI91" s="1"/>
  <c r="K90"/>
  <c r="K89"/>
  <c r="K88"/>
  <c r="K87"/>
  <c r="G177"/>
  <c r="K156"/>
  <c r="AI156" s="1"/>
  <c r="H156"/>
  <c r="K152"/>
  <c r="AI152" s="1"/>
  <c r="H152"/>
  <c r="K151"/>
  <c r="AI151" s="1"/>
  <c r="H151"/>
  <c r="K150"/>
  <c r="AI150" s="1"/>
  <c r="H150"/>
  <c r="K149"/>
  <c r="AI149" s="1"/>
  <c r="H149"/>
  <c r="K148"/>
  <c r="AI148" s="1"/>
  <c r="H148"/>
  <c r="K147"/>
  <c r="AI147" s="1"/>
  <c r="H147"/>
  <c r="K146"/>
  <c r="AI146" s="1"/>
  <c r="H146"/>
  <c r="K144"/>
  <c r="H144"/>
  <c r="AG144"/>
  <c r="AB144"/>
  <c r="AA144"/>
  <c r="W144"/>
  <c r="T144"/>
  <c r="T167" i="8" l="1"/>
  <c r="T168" s="1"/>
  <c r="AG167"/>
  <c r="U168"/>
  <c r="X168"/>
  <c r="AC168" s="1"/>
  <c r="AC167"/>
  <c r="Z87"/>
  <c r="AA143"/>
  <c r="T143"/>
  <c r="U184"/>
  <c r="AG143"/>
  <c r="AA167"/>
  <c r="AA168" s="1"/>
  <c r="AC144" i="7"/>
  <c r="AE144" s="1"/>
  <c r="AI144"/>
  <c r="K167"/>
  <c r="AI167" s="1"/>
  <c r="AI87"/>
  <c r="Z144"/>
  <c r="K142"/>
  <c r="AI142" s="1"/>
  <c r="K119"/>
  <c r="AI119" s="1"/>
  <c r="AG192"/>
  <c r="AA192"/>
  <c r="K192"/>
  <c r="AC192" s="1"/>
  <c r="AA185"/>
  <c r="AA183"/>
  <c r="Y183"/>
  <c r="AB183" s="1"/>
  <c r="T183"/>
  <c r="AB182"/>
  <c r="AA182"/>
  <c r="W182"/>
  <c r="T182"/>
  <c r="V143"/>
  <c r="AG142"/>
  <c r="AB142"/>
  <c r="AA142"/>
  <c r="W142"/>
  <c r="T142"/>
  <c r="AC142"/>
  <c r="AG141"/>
  <c r="AB141"/>
  <c r="AA141"/>
  <c r="W141"/>
  <c r="T141"/>
  <c r="K141"/>
  <c r="AG140"/>
  <c r="AC140"/>
  <c r="AB140"/>
  <c r="AA140"/>
  <c r="W140"/>
  <c r="T140"/>
  <c r="AG139"/>
  <c r="AC139"/>
  <c r="AB139"/>
  <c r="AA139"/>
  <c r="W139"/>
  <c r="T139"/>
  <c r="AG138"/>
  <c r="AC138"/>
  <c r="AB138"/>
  <c r="AA138"/>
  <c r="W138"/>
  <c r="T138"/>
  <c r="AG137"/>
  <c r="AC137"/>
  <c r="AA137"/>
  <c r="Y137"/>
  <c r="AB137" s="1"/>
  <c r="T137"/>
  <c r="AG136"/>
  <c r="AC136"/>
  <c r="AB136"/>
  <c r="AA136"/>
  <c r="W136"/>
  <c r="T136"/>
  <c r="AG135"/>
  <c r="AC135"/>
  <c r="AB135"/>
  <c r="AA135"/>
  <c r="W135"/>
  <c r="T135"/>
  <c r="AG134"/>
  <c r="AC134"/>
  <c r="AB134"/>
  <c r="AA134"/>
  <c r="W134"/>
  <c r="T134"/>
  <c r="AB133"/>
  <c r="X133"/>
  <c r="W133" s="1"/>
  <c r="U133"/>
  <c r="K133"/>
  <c r="AI133" s="1"/>
  <c r="AG132"/>
  <c r="AC132"/>
  <c r="AB132"/>
  <c r="AA132"/>
  <c r="W132"/>
  <c r="T132"/>
  <c r="AG131"/>
  <c r="AB131"/>
  <c r="AA131"/>
  <c r="W131"/>
  <c r="T131"/>
  <c r="K131"/>
  <c r="AG130"/>
  <c r="AB130"/>
  <c r="AA130"/>
  <c r="W130"/>
  <c r="T130"/>
  <c r="K130"/>
  <c r="AG129"/>
  <c r="AB129"/>
  <c r="AA129"/>
  <c r="W129"/>
  <c r="T129"/>
  <c r="K129"/>
  <c r="AG128"/>
  <c r="AB128"/>
  <c r="AA128"/>
  <c r="W128"/>
  <c r="T128"/>
  <c r="K128"/>
  <c r="AG127"/>
  <c r="AB127"/>
  <c r="AA127"/>
  <c r="W127"/>
  <c r="T127"/>
  <c r="K127"/>
  <c r="AG126"/>
  <c r="AB126"/>
  <c r="AA126"/>
  <c r="W126"/>
  <c r="T126"/>
  <c r="K126"/>
  <c r="AG125"/>
  <c r="AB125"/>
  <c r="AA125"/>
  <c r="W125"/>
  <c r="T125"/>
  <c r="K125"/>
  <c r="AG124"/>
  <c r="AB124"/>
  <c r="AA124"/>
  <c r="W124"/>
  <c r="T124"/>
  <c r="K124"/>
  <c r="AG123"/>
  <c r="AB123"/>
  <c r="AA123"/>
  <c r="W123"/>
  <c r="T123"/>
  <c r="K123"/>
  <c r="AG122"/>
  <c r="AB122"/>
  <c r="AA122"/>
  <c r="W122"/>
  <c r="T122"/>
  <c r="K122"/>
  <c r="Y121"/>
  <c r="X121"/>
  <c r="U121"/>
  <c r="T121" s="1"/>
  <c r="S121"/>
  <c r="AI121"/>
  <c r="AG120"/>
  <c r="AB120"/>
  <c r="AA120"/>
  <c r="W120"/>
  <c r="T120"/>
  <c r="K120"/>
  <c r="AG119"/>
  <c r="AB119"/>
  <c r="AA119"/>
  <c r="W119"/>
  <c r="T119"/>
  <c r="AC119"/>
  <c r="AG118"/>
  <c r="AC118"/>
  <c r="AB118"/>
  <c r="AA118"/>
  <c r="W118"/>
  <c r="T118"/>
  <c r="AG117"/>
  <c r="AB117"/>
  <c r="AA117"/>
  <c r="W117"/>
  <c r="T117"/>
  <c r="AC117"/>
  <c r="AG116"/>
  <c r="AB116"/>
  <c r="AA116"/>
  <c r="W116"/>
  <c r="T116"/>
  <c r="AC116"/>
  <c r="AG115"/>
  <c r="AB115"/>
  <c r="AA115"/>
  <c r="W115"/>
  <c r="T115"/>
  <c r="AC115"/>
  <c r="AG114"/>
  <c r="AB114"/>
  <c r="AA114"/>
  <c r="W114"/>
  <c r="T114"/>
  <c r="AC114"/>
  <c r="AB113"/>
  <c r="X113"/>
  <c r="AG113" s="1"/>
  <c r="T113"/>
  <c r="K113"/>
  <c r="AI113" s="1"/>
  <c r="AG112"/>
  <c r="AC112"/>
  <c r="AB112"/>
  <c r="AA112"/>
  <c r="W112"/>
  <c r="T112"/>
  <c r="AG111"/>
  <c r="AB111"/>
  <c r="AA111"/>
  <c r="W111"/>
  <c r="T111"/>
  <c r="K111"/>
  <c r="AG110"/>
  <c r="AC110"/>
  <c r="AB110"/>
  <c r="AA110"/>
  <c r="W110"/>
  <c r="T110"/>
  <c r="AG109"/>
  <c r="AC109"/>
  <c r="AB109"/>
  <c r="AA109"/>
  <c r="W109"/>
  <c r="T109"/>
  <c r="AG108"/>
  <c r="AB108"/>
  <c r="AA108"/>
  <c r="W108"/>
  <c r="T108"/>
  <c r="K108"/>
  <c r="AG107"/>
  <c r="AB107"/>
  <c r="AA107"/>
  <c r="W107"/>
  <c r="T107"/>
  <c r="K107"/>
  <c r="AG106"/>
  <c r="AC106"/>
  <c r="AB106"/>
  <c r="AA106"/>
  <c r="W106"/>
  <c r="T106"/>
  <c r="AG105"/>
  <c r="AB105"/>
  <c r="AA105"/>
  <c r="W105"/>
  <c r="T105"/>
  <c r="K105"/>
  <c r="AG104"/>
  <c r="AB104"/>
  <c r="AA104"/>
  <c r="W104"/>
  <c r="T104"/>
  <c r="K104"/>
  <c r="AG103"/>
  <c r="AB103"/>
  <c r="AA103"/>
  <c r="W103"/>
  <c r="T103"/>
  <c r="K103"/>
  <c r="AG102"/>
  <c r="AC102"/>
  <c r="AB102"/>
  <c r="AA102"/>
  <c r="W102"/>
  <c r="T102"/>
  <c r="AG101"/>
  <c r="AB101"/>
  <c r="AA101"/>
  <c r="W101"/>
  <c r="T101"/>
  <c r="K101"/>
  <c r="AG100"/>
  <c r="AC100"/>
  <c r="AE100" s="1"/>
  <c r="AB100"/>
  <c r="AA100"/>
  <c r="W100"/>
  <c r="T100"/>
  <c r="AG99"/>
  <c r="AC99"/>
  <c r="AB99"/>
  <c r="AA99"/>
  <c r="W99"/>
  <c r="T99"/>
  <c r="AG98"/>
  <c r="AC98"/>
  <c r="AB98"/>
  <c r="AA98"/>
  <c r="W98"/>
  <c r="T98"/>
  <c r="AG97"/>
  <c r="AC97"/>
  <c r="AB97"/>
  <c r="AA97"/>
  <c r="W97"/>
  <c r="T97"/>
  <c r="S97"/>
  <c r="AG96"/>
  <c r="AC96"/>
  <c r="AB96"/>
  <c r="AA96"/>
  <c r="W96"/>
  <c r="T96"/>
  <c r="AG95"/>
  <c r="AC95"/>
  <c r="AB95"/>
  <c r="AA95"/>
  <c r="W95"/>
  <c r="T95"/>
  <c r="AG94"/>
  <c r="AB94"/>
  <c r="AA94"/>
  <c r="W94"/>
  <c r="T94"/>
  <c r="K94"/>
  <c r="AG93"/>
  <c r="AB93"/>
  <c r="AA93"/>
  <c r="W93"/>
  <c r="T93"/>
  <c r="K93"/>
  <c r="AB92"/>
  <c r="X92"/>
  <c r="W92" s="1"/>
  <c r="U92"/>
  <c r="AG91"/>
  <c r="AB91"/>
  <c r="AA91"/>
  <c r="W91"/>
  <c r="T91"/>
  <c r="AC91"/>
  <c r="AB90"/>
  <c r="W90"/>
  <c r="S90"/>
  <c r="AC90"/>
  <c r="AB89"/>
  <c r="S89"/>
  <c r="AB88"/>
  <c r="X88"/>
  <c r="S88"/>
  <c r="AB87"/>
  <c r="X87"/>
  <c r="S87"/>
  <c r="AG86"/>
  <c r="AC86"/>
  <c r="AE86" s="1"/>
  <c r="AB86"/>
  <c r="AA86"/>
  <c r="W86"/>
  <c r="T86"/>
  <c r="AG85"/>
  <c r="AC85"/>
  <c r="AE85" s="1"/>
  <c r="AB85"/>
  <c r="AA85"/>
  <c r="W85"/>
  <c r="T85"/>
  <c r="AB84"/>
  <c r="K84"/>
  <c r="AB83"/>
  <c r="K83"/>
  <c r="AB82"/>
  <c r="AB81"/>
  <c r="K81"/>
  <c r="AB80"/>
  <c r="K80"/>
  <c r="AB79"/>
  <c r="K79"/>
  <c r="AG78"/>
  <c r="AC78"/>
  <c r="AE78" s="1"/>
  <c r="AB78"/>
  <c r="AA78"/>
  <c r="W78"/>
  <c r="T78"/>
  <c r="AG77"/>
  <c r="AC77"/>
  <c r="AE77" s="1"/>
  <c r="AB77"/>
  <c r="AA77"/>
  <c r="W77"/>
  <c r="T77"/>
  <c r="AG76"/>
  <c r="AC76"/>
  <c r="AB76"/>
  <c r="AA76"/>
  <c r="W76"/>
  <c r="T76"/>
  <c r="AB75"/>
  <c r="X75"/>
  <c r="W75" s="1"/>
  <c r="U75"/>
  <c r="S75"/>
  <c r="K75"/>
  <c r="AI75" s="1"/>
  <c r="AG74"/>
  <c r="AC74"/>
  <c r="AE74" s="1"/>
  <c r="AB74"/>
  <c r="AA74"/>
  <c r="W74"/>
  <c r="T74"/>
  <c r="AG73"/>
  <c r="AC73"/>
  <c r="AB73"/>
  <c r="AA73"/>
  <c r="W73"/>
  <c r="T73"/>
  <c r="AG72"/>
  <c r="AC72"/>
  <c r="AE72" s="1"/>
  <c r="AB72"/>
  <c r="AA72"/>
  <c r="W72"/>
  <c r="T72"/>
  <c r="AG71"/>
  <c r="AC71"/>
  <c r="AE71" s="1"/>
  <c r="AB71"/>
  <c r="AA71"/>
  <c r="W71"/>
  <c r="T71"/>
  <c r="AG70"/>
  <c r="AC70"/>
  <c r="AE70" s="1"/>
  <c r="AB70"/>
  <c r="AA70"/>
  <c r="W70"/>
  <c r="T70"/>
  <c r="AG69"/>
  <c r="AC69"/>
  <c r="AE69" s="1"/>
  <c r="AB69"/>
  <c r="AA69"/>
  <c r="W69"/>
  <c r="T69"/>
  <c r="AG68"/>
  <c r="AC68"/>
  <c r="AE68" s="1"/>
  <c r="AB68"/>
  <c r="AA68"/>
  <c r="W68"/>
  <c r="T68"/>
  <c r="AG67"/>
  <c r="AB67"/>
  <c r="AA67"/>
  <c r="W67"/>
  <c r="T67"/>
  <c r="K67"/>
  <c r="AG66"/>
  <c r="AC66"/>
  <c r="AE66" s="1"/>
  <c r="AB66"/>
  <c r="AA66"/>
  <c r="W66"/>
  <c r="T66"/>
  <c r="AG65"/>
  <c r="AC65"/>
  <c r="AE65" s="1"/>
  <c r="AB65"/>
  <c r="AA65"/>
  <c r="W65"/>
  <c r="T65"/>
  <c r="AG64"/>
  <c r="AC64"/>
  <c r="AB64"/>
  <c r="AA64"/>
  <c r="W64"/>
  <c r="T64"/>
  <c r="AG63"/>
  <c r="AB63"/>
  <c r="AA63"/>
  <c r="W63"/>
  <c r="T63"/>
  <c r="S63"/>
  <c r="K63"/>
  <c r="AG62"/>
  <c r="AB62"/>
  <c r="AA62"/>
  <c r="W62"/>
  <c r="T62"/>
  <c r="S62"/>
  <c r="K62"/>
  <c r="AG61"/>
  <c r="AB61"/>
  <c r="AA61"/>
  <c r="W61"/>
  <c r="T61"/>
  <c r="K61"/>
  <c r="AG60"/>
  <c r="AB60"/>
  <c r="AA60"/>
  <c r="W60"/>
  <c r="T60"/>
  <c r="K60"/>
  <c r="AB59"/>
  <c r="X59"/>
  <c r="U59"/>
  <c r="AG58"/>
  <c r="AC58"/>
  <c r="AB58"/>
  <c r="AA58"/>
  <c r="W58"/>
  <c r="T58"/>
  <c r="AG57"/>
  <c r="AC57"/>
  <c r="AE57" s="1"/>
  <c r="AB57"/>
  <c r="AA57"/>
  <c r="W57"/>
  <c r="T57"/>
  <c r="AG56"/>
  <c r="AB56"/>
  <c r="AA56"/>
  <c r="W56"/>
  <c r="T56"/>
  <c r="K56"/>
  <c r="AB55"/>
  <c r="X55"/>
  <c r="W55" s="1"/>
  <c r="T55"/>
  <c r="AG54"/>
  <c r="AC54"/>
  <c r="AE54" s="1"/>
  <c r="AB54"/>
  <c r="AA54"/>
  <c r="W54"/>
  <c r="T54"/>
  <c r="AG53"/>
  <c r="AB53"/>
  <c r="AA53"/>
  <c r="W53"/>
  <c r="T53"/>
  <c r="K53"/>
  <c r="AG52"/>
  <c r="AC52"/>
  <c r="AE52" s="1"/>
  <c r="AB52"/>
  <c r="AA52"/>
  <c r="W52"/>
  <c r="T52"/>
  <c r="AG51"/>
  <c r="AC51"/>
  <c r="AE51" s="1"/>
  <c r="AB51"/>
  <c r="AA51"/>
  <c r="W51"/>
  <c r="T51"/>
  <c r="AG50"/>
  <c r="AC50"/>
  <c r="AE50" s="1"/>
  <c r="AB50"/>
  <c r="AA50"/>
  <c r="W50"/>
  <c r="T50"/>
  <c r="AG49"/>
  <c r="AC49"/>
  <c r="AE49" s="1"/>
  <c r="AB49"/>
  <c r="AA49"/>
  <c r="W49"/>
  <c r="T49"/>
  <c r="AG48"/>
  <c r="AC48"/>
  <c r="AE48" s="1"/>
  <c r="AB48"/>
  <c r="AA48"/>
  <c r="W48"/>
  <c r="T48"/>
  <c r="AG47"/>
  <c r="AB47"/>
  <c r="AA47"/>
  <c r="W47"/>
  <c r="T47"/>
  <c r="K47"/>
  <c r="AG46"/>
  <c r="AB46"/>
  <c r="AA46"/>
  <c r="W46"/>
  <c r="T46"/>
  <c r="K46"/>
  <c r="AG45"/>
  <c r="AB45"/>
  <c r="AA45"/>
  <c r="W45"/>
  <c r="T45"/>
  <c r="K45"/>
  <c r="AG44"/>
  <c r="AB44"/>
  <c r="AA44"/>
  <c r="W44"/>
  <c r="T44"/>
  <c r="K44"/>
  <c r="AG43"/>
  <c r="AC43"/>
  <c r="AB43"/>
  <c r="AA43"/>
  <c r="W43"/>
  <c r="T43"/>
  <c r="AG42"/>
  <c r="AC42"/>
  <c r="AE42" s="1"/>
  <c r="AB42"/>
  <c r="AA42"/>
  <c r="W42"/>
  <c r="T42"/>
  <c r="AG41"/>
  <c r="AC41"/>
  <c r="AE41" s="1"/>
  <c r="AB41"/>
  <c r="AA41"/>
  <c r="W41"/>
  <c r="T41"/>
  <c r="AG40"/>
  <c r="AC40"/>
  <c r="AE40" s="1"/>
  <c r="AB40"/>
  <c r="AA40"/>
  <c r="W40"/>
  <c r="T40"/>
  <c r="AG39"/>
  <c r="AC39"/>
  <c r="AB39"/>
  <c r="AA39"/>
  <c r="W39"/>
  <c r="T39"/>
  <c r="S39"/>
  <c r="AG38"/>
  <c r="AC38"/>
  <c r="AB38"/>
  <c r="AA38"/>
  <c r="W38"/>
  <c r="T38"/>
  <c r="AG37"/>
  <c r="AC37"/>
  <c r="AB37"/>
  <c r="AA37"/>
  <c r="W37"/>
  <c r="T37"/>
  <c r="AG36"/>
  <c r="AC36"/>
  <c r="AB36"/>
  <c r="AA36"/>
  <c r="W36"/>
  <c r="T36"/>
  <c r="AG35"/>
  <c r="AC35"/>
  <c r="AE35" s="1"/>
  <c r="AB35"/>
  <c r="AA35"/>
  <c r="W35"/>
  <c r="T35"/>
  <c r="AG34"/>
  <c r="AB34"/>
  <c r="AA34"/>
  <c r="W34"/>
  <c r="T34"/>
  <c r="K34"/>
  <c r="AG33"/>
  <c r="AB33"/>
  <c r="AA33"/>
  <c r="W33"/>
  <c r="T33"/>
  <c r="AC33"/>
  <c r="AB32"/>
  <c r="X32"/>
  <c r="W32" s="1"/>
  <c r="U32"/>
  <c r="AG31"/>
  <c r="AC31"/>
  <c r="AE31" s="1"/>
  <c r="AB31"/>
  <c r="AA31"/>
  <c r="W31"/>
  <c r="T31"/>
  <c r="AG30"/>
  <c r="AB30"/>
  <c r="AA30"/>
  <c r="W30"/>
  <c r="T30"/>
  <c r="AC30"/>
  <c r="AB29"/>
  <c r="X29"/>
  <c r="U29"/>
  <c r="S29"/>
  <c r="K29"/>
  <c r="AI29" s="1"/>
  <c r="AG28"/>
  <c r="AC28"/>
  <c r="AE28" s="1"/>
  <c r="AB28"/>
  <c r="AA28"/>
  <c r="W28"/>
  <c r="T28"/>
  <c r="AG27"/>
  <c r="AC27"/>
  <c r="AB27"/>
  <c r="AA27"/>
  <c r="W27"/>
  <c r="T27"/>
  <c r="AG26"/>
  <c r="AC26"/>
  <c r="AB26"/>
  <c r="AA26"/>
  <c r="W26"/>
  <c r="T26"/>
  <c r="AG25"/>
  <c r="AB25"/>
  <c r="AA25"/>
  <c r="W25"/>
  <c r="T25"/>
  <c r="K25"/>
  <c r="AG24"/>
  <c r="AB24"/>
  <c r="AA24"/>
  <c r="W24"/>
  <c r="T24"/>
  <c r="K24"/>
  <c r="AG23"/>
  <c r="AB23"/>
  <c r="AA23"/>
  <c r="W23"/>
  <c r="T23"/>
  <c r="K23"/>
  <c r="AG168" i="8" l="1"/>
  <c r="T184"/>
  <c r="AA184"/>
  <c r="Z184" s="1"/>
  <c r="Z143"/>
  <c r="Z167" s="1"/>
  <c r="Z168" s="1"/>
  <c r="H177" i="7"/>
  <c r="AC131"/>
  <c r="AI131"/>
  <c r="AC47"/>
  <c r="AE47" s="1"/>
  <c r="AI47"/>
  <c r="AC53"/>
  <c r="AE53" s="1"/>
  <c r="AI53"/>
  <c r="AC60"/>
  <c r="AE60" s="1"/>
  <c r="AI60"/>
  <c r="AC103"/>
  <c r="AI103"/>
  <c r="AC23"/>
  <c r="AE23" s="1"/>
  <c r="AI23"/>
  <c r="AC25"/>
  <c r="AE25" s="1"/>
  <c r="AI25"/>
  <c r="AC56"/>
  <c r="AE56" s="1"/>
  <c r="AI56"/>
  <c r="AC63"/>
  <c r="AE63" s="1"/>
  <c r="AI63"/>
  <c r="AC93"/>
  <c r="AE93" s="1"/>
  <c r="AI93"/>
  <c r="AC130"/>
  <c r="AI130"/>
  <c r="AI79"/>
  <c r="AC24"/>
  <c r="AE24" s="1"/>
  <c r="AI24"/>
  <c r="AC34"/>
  <c r="AE34" s="1"/>
  <c r="AI34"/>
  <c r="AC94"/>
  <c r="AI94"/>
  <c r="AC45"/>
  <c r="AE45" s="1"/>
  <c r="AI45"/>
  <c r="AC62"/>
  <c r="AI62"/>
  <c r="AC101"/>
  <c r="AI101"/>
  <c r="AC120"/>
  <c r="AI120"/>
  <c r="AC44"/>
  <c r="AI44"/>
  <c r="AC46"/>
  <c r="AI46"/>
  <c r="AC61"/>
  <c r="AE61" s="1"/>
  <c r="AI61"/>
  <c r="AC141"/>
  <c r="AI141"/>
  <c r="AC129"/>
  <c r="AI129"/>
  <c r="AC122"/>
  <c r="AI122"/>
  <c r="AC124"/>
  <c r="AI124"/>
  <c r="AC126"/>
  <c r="AI126"/>
  <c r="AC128"/>
  <c r="AI128"/>
  <c r="AC104"/>
  <c r="AI104"/>
  <c r="AC108"/>
  <c r="AI108"/>
  <c r="V185"/>
  <c r="T185" s="1"/>
  <c r="V167"/>
  <c r="V168" s="1"/>
  <c r="AC123"/>
  <c r="AI123"/>
  <c r="AC125"/>
  <c r="AI125"/>
  <c r="AC127"/>
  <c r="AI127"/>
  <c r="AC67"/>
  <c r="AE67" s="1"/>
  <c r="AI67"/>
  <c r="AC105"/>
  <c r="AE105" s="1"/>
  <c r="AI105"/>
  <c r="AC107"/>
  <c r="AI107"/>
  <c r="AC111"/>
  <c r="AI111"/>
  <c r="Z140"/>
  <c r="AC121"/>
  <c r="Z43"/>
  <c r="Z129"/>
  <c r="Z94"/>
  <c r="Y143"/>
  <c r="Y184" s="1"/>
  <c r="Z23"/>
  <c r="Z40"/>
  <c r="Z44"/>
  <c r="Z48"/>
  <c r="Z50"/>
  <c r="Z52"/>
  <c r="Z54"/>
  <c r="Z63"/>
  <c r="Z69"/>
  <c r="Z71"/>
  <c r="Z73"/>
  <c r="AA121"/>
  <c r="AG133"/>
  <c r="Z41"/>
  <c r="X79"/>
  <c r="AC133"/>
  <c r="Z39"/>
  <c r="Z42"/>
  <c r="Z45"/>
  <c r="AD87"/>
  <c r="Z99"/>
  <c r="Z28"/>
  <c r="Z30"/>
  <c r="Z35"/>
  <c r="Z57"/>
  <c r="Z60"/>
  <c r="Z65"/>
  <c r="Z77"/>
  <c r="Z86"/>
  <c r="Z93"/>
  <c r="Z97"/>
  <c r="Z102"/>
  <c r="Z106"/>
  <c r="Z110"/>
  <c r="Z112"/>
  <c r="Z127"/>
  <c r="Z135"/>
  <c r="Z141"/>
  <c r="Z183"/>
  <c r="Z25"/>
  <c r="Z47"/>
  <c r="Z49"/>
  <c r="Z51"/>
  <c r="Z68"/>
  <c r="Z70"/>
  <c r="Z72"/>
  <c r="Z74"/>
  <c r="Z120"/>
  <c r="Z125"/>
  <c r="Z130"/>
  <c r="Z132"/>
  <c r="AG29"/>
  <c r="AG59"/>
  <c r="Z61"/>
  <c r="Z62"/>
  <c r="Z64"/>
  <c r="Z67"/>
  <c r="Z76"/>
  <c r="Z78"/>
  <c r="U81"/>
  <c r="T81" s="1"/>
  <c r="X80"/>
  <c r="W80" s="1"/>
  <c r="X83"/>
  <c r="W83" s="1"/>
  <c r="Z85"/>
  <c r="Z91"/>
  <c r="AA92"/>
  <c r="Z92" s="1"/>
  <c r="Z98"/>
  <c r="Z101"/>
  <c r="Z109"/>
  <c r="Z118"/>
  <c r="Z123"/>
  <c r="Z136"/>
  <c r="Z142"/>
  <c r="Z27"/>
  <c r="AA29"/>
  <c r="Z29" s="1"/>
  <c r="Z34"/>
  <c r="Z36"/>
  <c r="Z38"/>
  <c r="AG55"/>
  <c r="Z56"/>
  <c r="Z58"/>
  <c r="T59"/>
  <c r="Z66"/>
  <c r="S79"/>
  <c r="S80"/>
  <c r="AE91"/>
  <c r="Z96"/>
  <c r="Z103"/>
  <c r="Z105"/>
  <c r="Z107"/>
  <c r="Z111"/>
  <c r="Z115"/>
  <c r="Z117"/>
  <c r="Z119"/>
  <c r="Z122"/>
  <c r="Z126"/>
  <c r="Z134"/>
  <c r="Z138"/>
  <c r="AE141"/>
  <c r="Z182"/>
  <c r="Z24"/>
  <c r="Z26"/>
  <c r="T29"/>
  <c r="AC32"/>
  <c r="Z33"/>
  <c r="Z37"/>
  <c r="Z46"/>
  <c r="Z53"/>
  <c r="AA55"/>
  <c r="Z55" s="1"/>
  <c r="AA59"/>
  <c r="Z59" s="1"/>
  <c r="AG75"/>
  <c r="U82"/>
  <c r="T82" s="1"/>
  <c r="Z95"/>
  <c r="Z100"/>
  <c r="Z104"/>
  <c r="Z108"/>
  <c r="Z114"/>
  <c r="Z116"/>
  <c r="AG121"/>
  <c r="Z124"/>
  <c r="Z128"/>
  <c r="Z131"/>
  <c r="Z139"/>
  <c r="AE142"/>
  <c r="AE116"/>
  <c r="Z137"/>
  <c r="S84"/>
  <c r="Z31"/>
  <c r="T75"/>
  <c r="S81"/>
  <c r="X81"/>
  <c r="U83"/>
  <c r="AC87"/>
  <c r="AC88"/>
  <c r="T92"/>
  <c r="AG92"/>
  <c r="W113"/>
  <c r="AB121"/>
  <c r="AA133"/>
  <c r="Z133" s="1"/>
  <c r="K143"/>
  <c r="K188"/>
  <c r="AA75"/>
  <c r="Z75" s="1"/>
  <c r="X84"/>
  <c r="AC113"/>
  <c r="AC29"/>
  <c r="AA32"/>
  <c r="Z32" s="1"/>
  <c r="AC59"/>
  <c r="W29"/>
  <c r="T32"/>
  <c r="AG32"/>
  <c r="AE33"/>
  <c r="AC55"/>
  <c r="W59"/>
  <c r="AC75"/>
  <c r="U79"/>
  <c r="U80"/>
  <c r="S82"/>
  <c r="X82"/>
  <c r="U84"/>
  <c r="W87"/>
  <c r="W88"/>
  <c r="X89"/>
  <c r="U87" s="1"/>
  <c r="AC92"/>
  <c r="AA113"/>
  <c r="Z113" s="1"/>
  <c r="W121"/>
  <c r="T133"/>
  <c r="W183"/>
  <c r="S83"/>
  <c r="W137"/>
  <c r="V184"/>
  <c r="AC79" l="1"/>
  <c r="Y185"/>
  <c r="W185" s="1"/>
  <c r="Y167"/>
  <c r="Y168" s="1"/>
  <c r="K168"/>
  <c r="AI143"/>
  <c r="Z121"/>
  <c r="W79"/>
  <c r="AC80"/>
  <c r="AG82"/>
  <c r="AA83"/>
  <c r="Z83" s="1"/>
  <c r="AC83"/>
  <c r="X143"/>
  <c r="X184" s="1"/>
  <c r="W184" s="1"/>
  <c r="U90"/>
  <c r="T90" s="1"/>
  <c r="AD79"/>
  <c r="U88"/>
  <c r="AG88" s="1"/>
  <c r="S143"/>
  <c r="S167" s="1"/>
  <c r="S168" s="1"/>
  <c r="AB143"/>
  <c r="AB167" s="1"/>
  <c r="AB168" s="1"/>
  <c r="AG80"/>
  <c r="T80"/>
  <c r="AA84"/>
  <c r="Z84" s="1"/>
  <c r="W84"/>
  <c r="AC84"/>
  <c r="AG83"/>
  <c r="T83"/>
  <c r="K189"/>
  <c r="AG84"/>
  <c r="T84"/>
  <c r="T79"/>
  <c r="AG79"/>
  <c r="AG87"/>
  <c r="T87"/>
  <c r="W89"/>
  <c r="AC89"/>
  <c r="U89"/>
  <c r="AA89" s="1"/>
  <c r="Z89" s="1"/>
  <c r="W82"/>
  <c r="AC82"/>
  <c r="AA82"/>
  <c r="Z82" s="1"/>
  <c r="AA81"/>
  <c r="Z81" s="1"/>
  <c r="W81"/>
  <c r="AC81"/>
  <c r="AB184"/>
  <c r="AA79"/>
  <c r="Z79" s="1"/>
  <c r="AA87"/>
  <c r="Z87" s="1"/>
  <c r="AG81"/>
  <c r="AA80"/>
  <c r="Z80" s="1"/>
  <c r="AB185" l="1"/>
  <c r="Z185" s="1"/>
  <c r="X167"/>
  <c r="AI168"/>
  <c r="AG90"/>
  <c r="AA90"/>
  <c r="Z90" s="1"/>
  <c r="U143"/>
  <c r="AG143" s="1"/>
  <c r="T88"/>
  <c r="AA88"/>
  <c r="Z88" s="1"/>
  <c r="W143"/>
  <c r="W167" s="1"/>
  <c r="W168" s="1"/>
  <c r="AC143"/>
  <c r="AG89"/>
  <c r="T89"/>
  <c r="X168" l="1"/>
  <c r="AC168" s="1"/>
  <c r="AC167"/>
  <c r="U167"/>
  <c r="T143"/>
  <c r="T167" s="1"/>
  <c r="T168" s="1"/>
  <c r="AA143"/>
  <c r="AA167" s="1"/>
  <c r="AA168" s="1"/>
  <c r="Z143"/>
  <c r="Z167" s="1"/>
  <c r="Z168" s="1"/>
  <c r="U184"/>
  <c r="AA184" s="1"/>
  <c r="Z184" s="1"/>
  <c r="U168" l="1"/>
  <c r="AG168" s="1"/>
  <c r="AG167"/>
  <c r="T184"/>
</calcChain>
</file>

<file path=xl/sharedStrings.xml><?xml version="1.0" encoding="utf-8"?>
<sst xmlns="http://schemas.openxmlformats.org/spreadsheetml/2006/main" count="2383" uniqueCount="300">
  <si>
    <t>УТВЕРЖДАЮ</t>
  </si>
  <si>
    <t>№ п/п</t>
  </si>
  <si>
    <t>Наименование предмета договора</t>
  </si>
  <si>
    <t>Ориентировочная начальная (максимальная) цена договора, тыс. руб.</t>
  </si>
  <si>
    <t>П</t>
  </si>
  <si>
    <t>Отправление телеграмм</t>
  </si>
  <si>
    <t>И</t>
  </si>
  <si>
    <t>Категорирование (аттестация) рабочих мест</t>
  </si>
  <si>
    <t>Услуги по обработке документов архивного хранения</t>
  </si>
  <si>
    <t>Ремонтнопрофилактическое обслуживание АТС внутренней связи</t>
  </si>
  <si>
    <t>Страхование от инцефалита</t>
  </si>
  <si>
    <t>Обучение</t>
  </si>
  <si>
    <t>Водоснабжение</t>
  </si>
  <si>
    <t>Энергоснабжение</t>
  </si>
  <si>
    <t>Теплоснабжение</t>
  </si>
  <si>
    <t>**- статус лота выбирается из следующих значений: П –планируется, О –объявлен, И –исполняется (договор заключен). З –завершен (договор исполнен), ОТМ – лот отменен</t>
  </si>
  <si>
    <t>Страхование от несчастных случаев</t>
  </si>
  <si>
    <t>Демеркуризация ртутьсодержащих ламп</t>
  </si>
  <si>
    <t>___________________ Д.А.Селин</t>
  </si>
  <si>
    <t>«___» _________________ 2011г.</t>
  </si>
  <si>
    <t>Статус     закупки**</t>
  </si>
  <si>
    <t>Двусторонний обмен почтой по системе городской служебной почты (ГСП)</t>
  </si>
  <si>
    <t>услуги местной  городской телефонной связи</t>
  </si>
  <si>
    <t>услуги  междугородней и международной телефонной связи</t>
  </si>
  <si>
    <t>Оказание авиационных услуг для выполнения работ по авиапатрулированию земель лесного фонда</t>
  </si>
  <si>
    <t>Оказание авиационных услуг для выполнения работ по тушению лесных пожаров</t>
  </si>
  <si>
    <t>Услуги по вывозу твердых бытовых отходов</t>
  </si>
  <si>
    <t>Услуги по  комплексному и техническому обслуживанию  инженерных систем</t>
  </si>
  <si>
    <t>Услуги по химчистке ковров, жалюзи.</t>
  </si>
  <si>
    <t>Услуги по дератизации</t>
  </si>
  <si>
    <t>Услуги по техническому обслуживанию автотранспорта (ТО)</t>
  </si>
  <si>
    <t>П.</t>
  </si>
  <si>
    <t>Ремонт автотранспорта</t>
  </si>
  <si>
    <t>Ремонт самоходной техники</t>
  </si>
  <si>
    <t>Ремонт служебных помещений</t>
  </si>
  <si>
    <t xml:space="preserve">Услуги по химчистке салонов автомашин </t>
  </si>
  <si>
    <t>Шиномонтаж автотранспорта</t>
  </si>
  <si>
    <t>Программирование пультов внутренней связи, перепрограммирование пультов и телефонных аппаратов</t>
  </si>
  <si>
    <t>Командировочные расходы: проезд</t>
  </si>
  <si>
    <t>Командировочные расходы: проживание</t>
  </si>
  <si>
    <t>Услуги по тушению пожаров</t>
  </si>
  <si>
    <t xml:space="preserve">Услуги по стирке белья </t>
  </si>
  <si>
    <t xml:space="preserve"> Ремонт радиостанций</t>
  </si>
  <si>
    <t>Бытовая химия</t>
  </si>
  <si>
    <t>Средства личной гигиены</t>
  </si>
  <si>
    <t>Сантехника</t>
  </si>
  <si>
    <t>Лакокрасочная продукция</t>
  </si>
  <si>
    <t>Скобяные изделия</t>
  </si>
  <si>
    <t>Электроинструмент</t>
  </si>
  <si>
    <t>Бензоинструмент</t>
  </si>
  <si>
    <t>Хозяйственный инвентарь</t>
  </si>
  <si>
    <t>Поставка расходных материалов и запасных частей к оргтехнике</t>
  </si>
  <si>
    <t>Поставка шин для легковых автомобилей</t>
  </si>
  <si>
    <t>Поставка шин для грузовых автомобилей</t>
  </si>
  <si>
    <t>Поставка шин для самоходной техники</t>
  </si>
  <si>
    <t>Поставка дизельного топлива</t>
  </si>
  <si>
    <t>Поставка автомасел и спец.жидкостей (в том числе охлаждающих жидкостей для двигателей внутреннего сгорания) для автотранспорта и самоходной техники</t>
  </si>
  <si>
    <t>Поставка авиационного керосина</t>
  </si>
  <si>
    <t>Поставка канцелярских товаров</t>
  </si>
  <si>
    <t>Поставка бумаги</t>
  </si>
  <si>
    <t>Поставка продуктов для формирования пайков</t>
  </si>
  <si>
    <t>Поставка спец. одежды</t>
  </si>
  <si>
    <t>Поставка автомобильных аптечек первой помощи</t>
  </si>
  <si>
    <t>Поставка репеллентов</t>
  </si>
  <si>
    <t>услуги по изготовлению схем, планов эвакуации людей и имущества из здания</t>
  </si>
  <si>
    <t>Услуги по изготовлению штампов и печатей</t>
  </si>
  <si>
    <t>Поставка  бутилированой  питьевой воды</t>
  </si>
  <si>
    <t>Поставка парашютов</t>
  </si>
  <si>
    <t>Поставка  парашютного оборудования</t>
  </si>
  <si>
    <t>Итого</t>
  </si>
  <si>
    <t>услуги по доставке экспресс почты</t>
  </si>
  <si>
    <t>Ремонтнопрофилактическое обслуживание телефонной распределительной сети</t>
  </si>
  <si>
    <t>Услуги по сопровождению программного продукта по своду бухгалтерской отчетности «1С  Бухгалтерия 10»</t>
  </si>
  <si>
    <t>Поставка расходных материалов и запча­стей к средствам связи для обслуживания радиостанций (батарейки, аккумуляторы, шнуры, провода, переходники, патчкорды)</t>
  </si>
  <si>
    <t>Поставка ГСМ (АИ80)</t>
  </si>
  <si>
    <t>Поставка ГСМ (АИ92)</t>
  </si>
  <si>
    <t>услуги сети сотовой радиотелефонной связи</t>
  </si>
  <si>
    <t>Услуги по ремонту и техническому обслуживанию оргтехники и компьютеров</t>
  </si>
  <si>
    <t>Услуги по техническому обслуживанию самоходной техники ( ТО)</t>
  </si>
  <si>
    <t>Услуги предоставления интернета</t>
  </si>
  <si>
    <t>услуги по обеспечению доступа к сетям телефонной связи (переключение номеров, добавление рабочих мест)</t>
  </si>
  <si>
    <t>Услуги связи (абонентская плата)</t>
  </si>
  <si>
    <t>Оказание услуг по размещению видеороликов по вопросам противопожарной  пропаганды в печатных средствах массовой информации</t>
  </si>
  <si>
    <t>Поставка типографской и полиграфической продукции  (карты, атласы, открытки, портреты, конверты, листовки, аншлаги).</t>
  </si>
  <si>
    <t>Ремонтнопрофилактическое обслуживание компьютерной распределительной сети в здании</t>
  </si>
  <si>
    <t>Услуги по обновлению лицензий антивирусного программного обеспечения</t>
  </si>
  <si>
    <t>Приобретению лицензий MICROSOFT OFFICE</t>
  </si>
  <si>
    <t>Поставка аксессуаров к мобильным телефонам (зарядные устройства, аккумулято­ры, чехлы, держатели, гарнитуры)</t>
  </si>
  <si>
    <t>Поставка запчастей и расходных материалов для самоходной техники</t>
  </si>
  <si>
    <t xml:space="preserve">Поставка запчастей и расходных материалов для бензопил  </t>
  </si>
  <si>
    <t>Поставка запчастей и расходных материалов для легковых автомобилей</t>
  </si>
  <si>
    <t>Поставка запчастей и расходных материалов для грузовых автомобилей</t>
  </si>
  <si>
    <t>Руководитель</t>
  </si>
  <si>
    <t>КГАУ « Лесопожарный центр»</t>
  </si>
  <si>
    <t>Осуществление закупок для собственных нужд КГАУ « Лесопожарный центр» на  2012 ГОД</t>
  </si>
  <si>
    <t>Госпошлина</t>
  </si>
  <si>
    <t>За измерение сопротивления растек тока контура</t>
  </si>
  <si>
    <t>За лицензии на право использования СКЗИ</t>
  </si>
  <si>
    <t>За обслуживание техических средств пожарной сигнализации</t>
  </si>
  <si>
    <t>Организация горячего питания</t>
  </si>
  <si>
    <t>За работы по замене и переносу электросчетчиков</t>
  </si>
  <si>
    <t>Изготовление и монтаж офисных табличек</t>
  </si>
  <si>
    <t>Услуги сопровождения программы консультант-плюс</t>
  </si>
  <si>
    <t>Медицинские услуги</t>
  </si>
  <si>
    <t>Поставка справочнотехнической, нормативной литературы и документации</t>
  </si>
  <si>
    <t>Страхование ОСАГО</t>
  </si>
  <si>
    <t>за ежегодное освидетельствование</t>
  </si>
  <si>
    <t>Пропуск</t>
  </si>
  <si>
    <t>Санитарно-эпид экспертиза</t>
  </si>
  <si>
    <t>Стройматериалы</t>
  </si>
  <si>
    <t>Транспортные услуги</t>
  </si>
  <si>
    <t>Хранение топлива</t>
  </si>
  <si>
    <t>За пожарное оборудование</t>
  </si>
  <si>
    <t>За электроды</t>
  </si>
  <si>
    <t>За палатки, спальный мешок и пр.</t>
  </si>
  <si>
    <t>За мебель</t>
  </si>
  <si>
    <t>За распылитель</t>
  </si>
  <si>
    <t>За стенд</t>
  </si>
  <si>
    <t>За эмульсию ДЭТА</t>
  </si>
  <si>
    <t>Оказание услуг по размещению видеороликов по вопросам противопожарной  пропаганды на телевизионных каналах</t>
  </si>
  <si>
    <t>Факт на 12.04.2012 (из 1С)</t>
  </si>
  <si>
    <t>За мотопомпу</t>
  </si>
  <si>
    <t>Ввод в экплуатацию кассового аппарата</t>
  </si>
  <si>
    <t>За стойку информ. Для плаката А-3</t>
  </si>
  <si>
    <t>За вакцину</t>
  </si>
  <si>
    <t>За жалюзи</t>
  </si>
  <si>
    <t>За комплекс тренаж.оборудования</t>
  </si>
  <si>
    <t>За приемник GPS</t>
  </si>
  <si>
    <t>За размещение рекламной информации</t>
  </si>
  <si>
    <t>Комплектующие ПК</t>
  </si>
  <si>
    <t>Почтовые услуги</t>
  </si>
  <si>
    <t>Размещение противопожарной пропаганды на телевидении</t>
  </si>
  <si>
    <t>за услуги по подг и распростр инф по противопож мероприятиям</t>
  </si>
  <si>
    <t>Тех.поддержку</t>
  </si>
  <si>
    <t>Количество договоров: Всего:</t>
  </si>
  <si>
    <t>Количество договоров: (с единственным поставщиком)</t>
  </si>
  <si>
    <t>Факт за март (из 1С сч 208-аванс.отчеты)</t>
  </si>
  <si>
    <t>Факт за март (из 1С сч 201-ден.ср-ва)</t>
  </si>
  <si>
    <t>Факт за март-апрель (из 1С СЧ 201-ден.ср-ва)</t>
  </si>
  <si>
    <t>Факт за апрель (из 1С СЧ 201-ден.ср-ва)</t>
  </si>
  <si>
    <t>Факт за март-апрель (из 1С СЧ 208-аванс.отчеты)</t>
  </si>
  <si>
    <t>Факт за апрель (из 1С СЧ 208-аванс.отчеты)</t>
  </si>
  <si>
    <t>Факт за март (из 1С сч 201-ден.ср-ва+208-аванс.отчеты)</t>
  </si>
  <si>
    <t>Факт за март-апрель (из 1С СЧ 201-ден.ср-ва+208-аванс.отчеты)</t>
  </si>
  <si>
    <t>Факт за апрель (из 1С СЧ 201-ден.ср-ва+208-аванс.отчеты)</t>
  </si>
  <si>
    <t>Наименование</t>
  </si>
  <si>
    <t>Сумма договоров: (с единственным поставщиком)</t>
  </si>
  <si>
    <t>Сумма договоров: Всего:</t>
  </si>
  <si>
    <t>МАРТ 2012г.</t>
  </si>
  <si>
    <t>МАРТ-АПРЕЛЬ 2012г.</t>
  </si>
  <si>
    <t>АПРЕЛЬ 2012г.</t>
  </si>
  <si>
    <t>Минимально необходимые требования, предъявляемые к закупаемым товарам, работам, услугам</t>
  </si>
  <si>
    <t>Ед. измерения</t>
  </si>
  <si>
    <t>Сведения о количестве (объеме)</t>
  </si>
  <si>
    <t>Регион поставки товаров, выполнения работ, оказания услуг</t>
  </si>
  <si>
    <t>Условия договора</t>
  </si>
  <si>
    <t>График осуществления процедур закупки</t>
  </si>
  <si>
    <t>Планируемая дата или период размещения извещения о закупке (месяц,год)</t>
  </si>
  <si>
    <t>Срок исполнения договора(месяц,год)</t>
  </si>
  <si>
    <t>неэлектронные</t>
  </si>
  <si>
    <t>Обоснование внесения изменений</t>
  </si>
  <si>
    <t>Красноярский край</t>
  </si>
  <si>
    <t>02.02.1</t>
  </si>
  <si>
    <t>Предоставление почтовых услуг согласно тарифа</t>
  </si>
  <si>
    <t>обеспечение возможности пользования услугами бесперебойной связи</t>
  </si>
  <si>
    <t>бесперебойное снабжение</t>
  </si>
  <si>
    <t>Выделенный безлимитный доступ к сети Интернет без ограничения объема трафика и скорости передачи данных; Постоянное предоставление услуги</t>
  </si>
  <si>
    <t>Постоянное предоставление услуги</t>
  </si>
  <si>
    <t>Вывоз твердых-бытовых отходов на полигон, соблюдать сроки вывоза отходов и мусора</t>
  </si>
  <si>
    <t>Качество услуг должно соответствовать действующим стандартам, нормам и правилам</t>
  </si>
  <si>
    <t>гарантия на работы не менее 1 года</t>
  </si>
  <si>
    <t>Качество работ должно соответствовать действующим СНиП, требования к срокам выполнения работ</t>
  </si>
  <si>
    <t>Услуги по обучению сотрудников по программе первоначальной подготовке летчик-наблюдатель</t>
  </si>
  <si>
    <t>определение соответсвия рабочих мест требуемым параметрам</t>
  </si>
  <si>
    <t>качественное обучение, выдача сертифиатов, дипломов, лицензирование.</t>
  </si>
  <si>
    <t>Наименование заказчика</t>
  </si>
  <si>
    <t>Наименование организатора закупок</t>
  </si>
  <si>
    <t>На 2012год</t>
  </si>
  <si>
    <t>КГАУ «Лесопожарный центр»</t>
  </si>
  <si>
    <t>Качество товара должно соответствовать ГОСТам, подтверждаться сертификатами. Товар должен быть безопасным и разрешенным для применения на терртории РФ.</t>
  </si>
  <si>
    <t>Соответствие требованиям СанПиНа</t>
  </si>
  <si>
    <t>Качество товара должно соответствовать установленным стандартам  и подтверждаться  сертификатами соответствия и удостоверениями качества</t>
  </si>
  <si>
    <t>соответствие требованиям установленным законодательством РФ к данному виду товаров</t>
  </si>
  <si>
    <t>Поставка товара по заявке заказчика в течение …</t>
  </si>
  <si>
    <t>Срок годности на момент поставки должен быть не менее 50% от остаточной стоимости</t>
  </si>
  <si>
    <t>Для проведения различных работ при предотвращении пожаров</t>
  </si>
  <si>
    <t>соответствие требованиям установленным законодательством РФ к данному виду работ</t>
  </si>
  <si>
    <t>а-80</t>
  </si>
  <si>
    <t>аи-92</t>
  </si>
  <si>
    <t>ДТ</t>
  </si>
  <si>
    <t>Соответствие горюче-смазочных материалов ГОСТ</t>
  </si>
  <si>
    <t>авиационный керосин</t>
  </si>
  <si>
    <t>Качество товара должно соответствовать требованиям нормативно-технической документации, действующим на территории Российской Федерации. Товар должен быть сертифицирован Госстандартом России на соответствие требованиям безопасности, установленным в Российской Федерации и подтверждаться сертификатами качества или декларациями о соответствии.</t>
  </si>
  <si>
    <t>Бумага для копировально-множительной техники</t>
  </si>
  <si>
    <t>Полиграфическая и печатная продукция</t>
  </si>
  <si>
    <t>Услуги, связанные с противопожарной защитой</t>
  </si>
  <si>
    <t>Качество товара должно соответствовать установленным в РФ стандартам, полнота поставки</t>
  </si>
  <si>
    <t>удобная, функциональная, «дышащая», практичная</t>
  </si>
  <si>
    <t>Бесперебойное предоставление услуги</t>
  </si>
  <si>
    <t>техническое обслуживание пожарной сигнализации</t>
  </si>
  <si>
    <t xml:space="preserve">Услуги общественного питания </t>
  </si>
  <si>
    <t xml:space="preserve">Устройство электроосвещения   и  линий  связи  в  жилых  и
        общественных зданиях 
</t>
  </si>
  <si>
    <t>обеспечение работы офисной техники</t>
  </si>
  <si>
    <t xml:space="preserve">Коммерческие и технические услуги прочие,  не включенные в
        другие группировки
</t>
  </si>
  <si>
    <t>Поддержание в актуальном состоянии информационных банков справочной правовой системы Консультант Плюс</t>
  </si>
  <si>
    <t xml:space="preserve">Услуги больниц и специализированных лечебных центров
</t>
  </si>
  <si>
    <t>Обучение на курсах и семинарах</t>
  </si>
  <si>
    <t>Качество услуг должно соответствовать требованиям нормативных документов</t>
  </si>
  <si>
    <t xml:space="preserve">Услуги в   области   охраны   общественного   порядка    и
        безопасности
</t>
  </si>
  <si>
    <t>Услуги   санитарно    -    эпидемиологических   учреждений</t>
  </si>
  <si>
    <t>Продукция лесопильной промышленности</t>
  </si>
  <si>
    <t>Бензины,Керосины и дизельное топливо</t>
  </si>
  <si>
    <t xml:space="preserve">Средства пожаротушения и запасные части к ним </t>
  </si>
  <si>
    <t>Продукция электродной промышленности</t>
  </si>
  <si>
    <t>Палатки туристические,Мешки спальные</t>
  </si>
  <si>
    <t>Мебель должна соответствать требованиям установленным законодательством РФ к данному виду товаров</t>
  </si>
  <si>
    <t>Средства защитные</t>
  </si>
  <si>
    <t>Мотопомпы пожарные</t>
  </si>
  <si>
    <t>Организация расчетов и кассовое обслуживание</t>
  </si>
  <si>
    <t>тоже самое что и стэнд окдп</t>
  </si>
  <si>
    <t>Вакцины, анатоксины и токсины, применяемые в медицине</t>
  </si>
  <si>
    <t>жалюзи металлические</t>
  </si>
  <si>
    <t>тренажер-манекен</t>
  </si>
  <si>
    <t>Воздушные и космические летательные аппараты, оборудование и детали летательных аппаратов</t>
  </si>
  <si>
    <t xml:space="preserve">Проекты социальной рекламы. Объекты наружной рекламы - баннеры, перетяжки, экраны, транспорт </t>
  </si>
  <si>
    <t>Своевременное и бесперебойное оказание услуги</t>
  </si>
  <si>
    <t>Консультационные услуги по программному обеспечению</t>
  </si>
  <si>
    <t>ОКАТО</t>
  </si>
  <si>
    <t>04401371000</t>
  </si>
  <si>
    <t>02.02.2</t>
  </si>
  <si>
    <t>02.02.3</t>
  </si>
  <si>
    <t>02.02.4</t>
  </si>
  <si>
    <t>02.02.5</t>
  </si>
  <si>
    <t>02.02.6</t>
  </si>
  <si>
    <t>02.02.7</t>
  </si>
  <si>
    <t>02.02.8</t>
  </si>
  <si>
    <t>02.02.9</t>
  </si>
  <si>
    <t>02.02.10</t>
  </si>
  <si>
    <t>02.02.11</t>
  </si>
  <si>
    <t>02.02.12</t>
  </si>
  <si>
    <t>02.02.13</t>
  </si>
  <si>
    <t>02.02.14</t>
  </si>
  <si>
    <t>02.02.15</t>
  </si>
  <si>
    <t>02.02.16</t>
  </si>
  <si>
    <t>02.02.17</t>
  </si>
  <si>
    <t>02.02.18</t>
  </si>
  <si>
    <t>02.02.19</t>
  </si>
  <si>
    <t>02.02.20</t>
  </si>
  <si>
    <t>Автоцистерна лесная пожарная, лесопатрульный автомобиль</t>
  </si>
  <si>
    <t xml:space="preserve">Лесопожарный модуль </t>
  </si>
  <si>
    <t xml:space="preserve">Лесопожарный трактор </t>
  </si>
  <si>
    <t>Бульдозеры, с навесным оборудованием</t>
  </si>
  <si>
    <t xml:space="preserve">Лесопожарный вездеход грузоподъемностью до 6 т </t>
  </si>
  <si>
    <t>Автомобиль бортовой повышенной проходимости грузоподъемностью до 6 т.</t>
  </si>
  <si>
    <t xml:space="preserve">Автомобиль повышенной проходимости бортовой или грузопассажирский грузоподъемностью до 1 т.: </t>
  </si>
  <si>
    <t xml:space="preserve">Колесный или гусеничный трактор тягового класса 1,4 - 6 т. </t>
  </si>
  <si>
    <t>Авторемонтная мастерская</t>
  </si>
  <si>
    <t>шт</t>
  </si>
  <si>
    <t>1 кв.-4 кв.</t>
  </si>
  <si>
    <t>Седельный тягач</t>
  </si>
  <si>
    <t>Полуприцеп-тяжеловоз</t>
  </si>
  <si>
    <t>Всего:</t>
  </si>
  <si>
    <t>Программа развития ПХС 3 типа</t>
  </si>
  <si>
    <t>Программа развития ПХС 1 типа</t>
  </si>
  <si>
    <t>Квадроцикл с прицепом (мотовездеход)</t>
  </si>
  <si>
    <t>Плуг лесной ПЛК-2</t>
  </si>
  <si>
    <t>Моторная лодка с прицепом</t>
  </si>
  <si>
    <t>Факт оплата на 02.10.12</t>
  </si>
  <si>
    <t>Заправка картриджей</t>
  </si>
  <si>
    <t>Код по ОКВЭД</t>
  </si>
  <si>
    <t>Код по ОКЕИ</t>
  </si>
  <si>
    <t>Код по ОКАТО</t>
  </si>
  <si>
    <t>Форма закупки в электронной форме</t>
  </si>
  <si>
    <t>да/нет</t>
  </si>
  <si>
    <t>04000000000</t>
  </si>
  <si>
    <t>Телефон заказчика</t>
  </si>
  <si>
    <t>ИНН</t>
  </si>
  <si>
    <t>КПП</t>
  </si>
  <si>
    <t xml:space="preserve"> электронная почта заказчика</t>
  </si>
  <si>
    <t>Адрес местонахождения заказчика</t>
  </si>
  <si>
    <t>тел./факс (391) 243-38-56</t>
  </si>
  <si>
    <t>lpcentr@lpcentr.ru</t>
  </si>
  <si>
    <t>660036, г. Красноярск, Академгородок, 50А, корпус 2</t>
  </si>
  <si>
    <t>Способ осуществления закупки *</t>
  </si>
  <si>
    <t>* код способа размещения заказа выбирается из следующих значений: 1- открытый конкурс, 2 – открытый аукцион. 3 –открытый аукцион в электронной форме, 4 – запрос предложений, 5- запрос котировок, 6- единственный поставщик.</t>
  </si>
  <si>
    <t>(Ф.И.О., должность руководителя (уполномоченного лица) заказчика)</t>
  </si>
  <si>
    <t>Селин Дмитрий Александрович, Руководитель</t>
  </si>
  <si>
    <t>(подпись)</t>
  </si>
  <si>
    <t>(дата утверждения)</t>
  </si>
  <si>
    <t>"            "                                                               20______г.</t>
  </si>
  <si>
    <t>МП</t>
  </si>
  <si>
    <t>-</t>
  </si>
  <si>
    <t>Поставка материалов для хозяйственных нужд в том числе:</t>
  </si>
  <si>
    <t>код поОКДП</t>
  </si>
  <si>
    <t>Условная единица</t>
  </si>
  <si>
    <t>ПЛАН ЗАКУПКИ ТОВАРОВ, РАБОТ, УСЛУГ на 2012 год.</t>
  </si>
  <si>
    <t>ПЛАН ЗАКУПКИ ТОВАРОВ, РАБОТ, УСЛУГ на 2013 год.</t>
  </si>
  <si>
    <t>На 2013год</t>
  </si>
  <si>
    <t>ПРИНЯТ Комиссией по закупкам КГАУ «Лесопожарный центр»</t>
  </si>
  <si>
    <t>Протокол заседания комиссии по закупкам КГАУ «Лесопожарный центр» от 28.12.2012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</si>
</sst>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7.7"/>
      <color theme="10"/>
      <name val="Calibri"/>
      <family val="2"/>
      <charset val="204"/>
    </font>
    <font>
      <u/>
      <sz val="13"/>
      <color theme="10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7" fillId="0" borderId="0" xfId="0" applyFont="1" applyAlignment="1">
      <alignment horizontal="right" vertical="center" indent="15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5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0" fillId="2" borderId="26" xfId="0" applyNumberFormat="1" applyFill="1" applyBorder="1"/>
    <xf numFmtId="0" fontId="1" fillId="0" borderId="5" xfId="0" applyFont="1" applyBorder="1" applyAlignment="1">
      <alignment horizontal="left" vertical="center" wrapText="1"/>
    </xf>
    <xf numFmtId="4" fontId="0" fillId="0" borderId="5" xfId="0" applyNumberFormat="1" applyBorder="1"/>
    <xf numFmtId="4" fontId="0" fillId="2" borderId="0" xfId="0" applyNumberFormat="1" applyFill="1" applyBorder="1"/>
    <xf numFmtId="4" fontId="3" fillId="0" borderId="27" xfId="0" applyNumberFormat="1" applyFont="1" applyBorder="1" applyAlignment="1">
      <alignment horizontal="center" vertical="center" wrapText="1"/>
    </xf>
    <xf numFmtId="4" fontId="0" fillId="0" borderId="5" xfId="0" applyNumberFormat="1" applyFill="1" applyBorder="1"/>
    <xf numFmtId="4" fontId="4" fillId="0" borderId="14" xfId="0" applyNumberFormat="1" applyFont="1" applyFill="1" applyBorder="1" applyAlignment="1">
      <alignment horizontal="center" vertical="center" wrapText="1"/>
    </xf>
    <xf numFmtId="4" fontId="0" fillId="0" borderId="7" xfId="0" applyNumberFormat="1" applyBorder="1"/>
    <xf numFmtId="4" fontId="0" fillId="0" borderId="16" xfId="0" applyNumberFormat="1" applyFill="1" applyBorder="1"/>
    <xf numFmtId="4" fontId="0" fillId="0" borderId="17" xfId="0" applyNumberFormat="1" applyBorder="1"/>
    <xf numFmtId="4" fontId="0" fillId="0" borderId="10" xfId="0" applyNumberFormat="1" applyBorder="1"/>
    <xf numFmtId="4" fontId="0" fillId="0" borderId="28" xfId="0" applyNumberFormat="1" applyBorder="1"/>
    <xf numFmtId="4" fontId="1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14" xfId="0" applyNumberFormat="1" applyBorder="1"/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/>
    <xf numFmtId="4" fontId="0" fillId="0" borderId="30" xfId="0" applyNumberFormat="1" applyBorder="1"/>
    <xf numFmtId="4" fontId="0" fillId="0" borderId="20" xfId="0" applyNumberFormat="1" applyBorder="1"/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29" xfId="0" applyNumberFormat="1" applyBorder="1"/>
    <xf numFmtId="4" fontId="0" fillId="0" borderId="10" xfId="0" applyNumberFormat="1" applyFill="1" applyBorder="1"/>
    <xf numFmtId="4" fontId="1" fillId="0" borderId="10" xfId="0" applyNumberFormat="1" applyFont="1" applyBorder="1" applyAlignment="1">
      <alignment vertical="center" wrapText="1"/>
    </xf>
    <xf numFmtId="4" fontId="1" fillId="0" borderId="10" xfId="0" applyNumberFormat="1" applyFont="1" applyFill="1" applyBorder="1" applyAlignment="1">
      <alignment vertical="center" wrapText="1"/>
    </xf>
    <xf numFmtId="4" fontId="0" fillId="0" borderId="28" xfId="0" applyNumberFormat="1" applyFill="1" applyBorder="1"/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/>
    <xf numFmtId="49" fontId="4" fillId="0" borderId="4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4" fillId="0" borderId="0" xfId="1" applyFont="1" applyAlignment="1" applyProtection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/AppData/Roaming/Microsoft/Excel/&#1042;&#1099;&#1075;&#1088;&#1091;&#1079;&#1082;&#1072;/2012&#1075;/&#1041;&#1044;&#1044;&#1057;%2003.10.12%20(&#1086;&#1090;%2003.10.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/AppData/Roaming/Microsoft/Excel/&#1043;&#1086;&#1089;%20&#1079;&#1072;&#1082;&#1072;&#1079;/&#1055;&#1045;&#1056;&#1045;&#1057;&#1052;&#1054;&#1058;&#1056;%20&#1055;&#1051;&#1040;&#1053;&#1040;%20&#1089;%20&#1044;&#1058;%20&#1080;%20&#1050;&#1058;%20(12.03.2012)+20,98%20&#1084;&#1077;&#1078;&#1088;&#1077;&#1075;%20&#1084;&#1072;&#1085;&#1077;&#1074;&#1088;%20&#1044;&#1057;8/&#1055;&#1083;&#1072;&#1085;%20&#1073;&#1102;&#1076;&#1078;&#1077;&#1090;%202012&#1075;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/Downloads/&#1043;&#1086;&#1089;%20&#1079;&#1072;&#1082;&#1072;&#1079;/&#1055;&#1045;&#1056;&#1045;&#1057;&#1052;&#1054;&#1058;&#1056;%20&#1055;&#1051;&#1040;&#1053;&#1040;%20&#1089;%20&#1044;&#1058;%20&#1080;%20&#1050;&#1058;%20(12.03.2012)/&#1055;&#1083;&#1072;&#1085;%20&#1073;&#1102;&#1076;&#1078;&#1077;&#1090;%202012&#1075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511">
          <cell r="J511">
            <v>18.71</v>
          </cell>
        </row>
        <row r="519">
          <cell r="J519">
            <v>5.09</v>
          </cell>
        </row>
        <row r="521">
          <cell r="J521">
            <v>19.47</v>
          </cell>
        </row>
        <row r="526">
          <cell r="J526">
            <v>12.87</v>
          </cell>
        </row>
        <row r="531">
          <cell r="J531">
            <v>863</v>
          </cell>
        </row>
        <row r="538">
          <cell r="J538">
            <v>451.51</v>
          </cell>
        </row>
        <row r="1506">
          <cell r="J1506">
            <v>2.25</v>
          </cell>
        </row>
        <row r="1522">
          <cell r="J1522">
            <v>299.81</v>
          </cell>
        </row>
        <row r="1526">
          <cell r="J1526">
            <v>798.77</v>
          </cell>
        </row>
        <row r="2204">
          <cell r="J2204">
            <v>8466.91</v>
          </cell>
        </row>
        <row r="2218">
          <cell r="J2218">
            <v>8195.66</v>
          </cell>
        </row>
        <row r="2223">
          <cell r="J2223">
            <v>1691.29</v>
          </cell>
        </row>
        <row r="2242">
          <cell r="J2242">
            <v>2672.2</v>
          </cell>
        </row>
        <row r="2422">
          <cell r="J2422">
            <v>63.7</v>
          </cell>
        </row>
        <row r="2721">
          <cell r="J2721">
            <v>1222.1400000000001</v>
          </cell>
        </row>
        <row r="2723">
          <cell r="J2723">
            <v>895.72</v>
          </cell>
        </row>
        <row r="2734">
          <cell r="J2734">
            <v>14.55</v>
          </cell>
        </row>
        <row r="2740">
          <cell r="J2740">
            <v>874.68</v>
          </cell>
        </row>
        <row r="2746">
          <cell r="J2746">
            <v>225.28</v>
          </cell>
        </row>
        <row r="2755">
          <cell r="J2755">
            <v>4.8</v>
          </cell>
        </row>
        <row r="2762">
          <cell r="J2762">
            <v>8.77</v>
          </cell>
        </row>
        <row r="2764">
          <cell r="J2764">
            <v>21.82</v>
          </cell>
        </row>
        <row r="2768">
          <cell r="J2768">
            <v>4.5</v>
          </cell>
        </row>
        <row r="2771">
          <cell r="J2771">
            <v>148.09</v>
          </cell>
        </row>
        <row r="2787">
          <cell r="J2787">
            <v>12.36</v>
          </cell>
        </row>
        <row r="2806">
          <cell r="J2806">
            <v>732.23</v>
          </cell>
        </row>
        <row r="2830">
          <cell r="J2830">
            <v>46.32</v>
          </cell>
        </row>
        <row r="2838">
          <cell r="J2838">
            <v>227.11</v>
          </cell>
        </row>
        <row r="2841">
          <cell r="J2841">
            <v>53.86</v>
          </cell>
        </row>
        <row r="2860">
          <cell r="J2860">
            <v>319.69</v>
          </cell>
        </row>
        <row r="2912">
          <cell r="J2912">
            <v>706.01</v>
          </cell>
        </row>
        <row r="3221">
          <cell r="J3221">
            <v>202.83</v>
          </cell>
        </row>
        <row r="3242">
          <cell r="J3242">
            <v>477258.11</v>
          </cell>
        </row>
        <row r="3271">
          <cell r="J3271">
            <v>3272.53</v>
          </cell>
        </row>
        <row r="3326">
          <cell r="J3326">
            <v>531.63</v>
          </cell>
        </row>
        <row r="3345">
          <cell r="J3345">
            <v>2.69</v>
          </cell>
        </row>
        <row r="3351">
          <cell r="J3351">
            <v>650.89</v>
          </cell>
        </row>
        <row r="3368">
          <cell r="J3368">
            <v>3.58</v>
          </cell>
        </row>
        <row r="3373">
          <cell r="J3373">
            <v>61.97</v>
          </cell>
        </row>
        <row r="3379">
          <cell r="J3379">
            <v>318.05</v>
          </cell>
        </row>
        <row r="3417">
          <cell r="J3417">
            <v>15.86</v>
          </cell>
        </row>
        <row r="3422">
          <cell r="J3422">
            <v>531.28</v>
          </cell>
        </row>
        <row r="3460">
          <cell r="J3460">
            <v>6.4</v>
          </cell>
        </row>
        <row r="3467">
          <cell r="J3467">
            <v>35945.82</v>
          </cell>
        </row>
        <row r="3697">
          <cell r="J3697">
            <v>16393.27</v>
          </cell>
        </row>
        <row r="3992">
          <cell r="J3992">
            <v>265.5</v>
          </cell>
        </row>
        <row r="4321">
          <cell r="J4321">
            <v>2136.94</v>
          </cell>
        </row>
        <row r="4346">
          <cell r="J4346">
            <v>222.93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"/>
      <sheetName val="Форма 1 (2)"/>
      <sheetName val="Форма 1 (скорект) (2)"/>
      <sheetName val="Форма 1 (скорект)"/>
    </sheetNames>
    <sheetDataSet>
      <sheetData sheetId="0"/>
      <sheetData sheetId="1"/>
      <sheetData sheetId="2"/>
      <sheetData sheetId="3">
        <row r="8">
          <cell r="Q8">
            <v>222556.56008200001</v>
          </cell>
        </row>
        <row r="111">
          <cell r="H111">
            <v>874.8</v>
          </cell>
        </row>
        <row r="112">
          <cell r="H112">
            <v>1893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"/>
      <sheetName val="Форма 1 (2)"/>
      <sheetName val="Форма 1 (скорект) (2)"/>
      <sheetName val="Форма 1 (скорект)"/>
    </sheetNames>
    <sheetDataSet>
      <sheetData sheetId="0" refreshError="1"/>
      <sheetData sheetId="1" refreshError="1"/>
      <sheetData sheetId="2" refreshError="1"/>
      <sheetData sheetId="3" refreshError="1">
        <row r="79">
          <cell r="G79">
            <v>420</v>
          </cell>
        </row>
        <row r="94">
          <cell r="G94">
            <v>29329.618775070528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centr@lpcentr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pcentr@lpcent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92"/>
  <sheetViews>
    <sheetView tabSelected="1" view="pageBreakPreview" topLeftCell="A8" zoomScale="70" zoomScaleNormal="90" zoomScaleSheetLayoutView="70" workbookViewId="0">
      <pane xSplit="4" ySplit="15" topLeftCell="E23" activePane="bottomRight" state="frozen"/>
      <selection activeCell="A8" sqref="A8"/>
      <selection pane="topRight" activeCell="G8" sqref="G8"/>
      <selection pane="bottomLeft" activeCell="A20" sqref="A20"/>
      <selection pane="bottomRight" activeCell="A9" sqref="A9:E9"/>
    </sheetView>
  </sheetViews>
  <sheetFormatPr defaultRowHeight="15" outlineLevelRow="1" outlineLevelCol="2"/>
  <cols>
    <col min="1" max="1" width="6.42578125" customWidth="1"/>
    <col min="2" max="2" width="15.28515625" customWidth="1"/>
    <col min="3" max="3" width="14.42578125" style="78" customWidth="1"/>
    <col min="4" max="4" width="102.7109375" bestFit="1" customWidth="1"/>
    <col min="5" max="5" width="74.7109375" bestFit="1" customWidth="1"/>
    <col min="6" max="6" width="20.7109375" customWidth="1"/>
    <col min="7" max="7" width="23.7109375" customWidth="1"/>
    <col min="8" max="8" width="16.7109375" customWidth="1"/>
    <col min="9" max="9" width="16.7109375" style="116" customWidth="1"/>
    <col min="10" max="10" width="21.140625" customWidth="1"/>
    <col min="11" max="11" width="22.7109375" customWidth="1"/>
    <col min="12" max="18" width="18.7109375" customWidth="1"/>
    <col min="19" max="19" width="26" style="5" hidden="1" customWidth="1" outlineLevel="1"/>
    <col min="20" max="20" width="20.28515625" style="5" hidden="1" customWidth="1" outlineLevel="1" collapsed="1"/>
    <col min="21" max="22" width="18.28515625" style="5" hidden="1" customWidth="1" outlineLevel="2"/>
    <col min="23" max="23" width="21.7109375" style="5" hidden="1" customWidth="1" outlineLevel="1" collapsed="1"/>
    <col min="24" max="25" width="14.7109375" style="5" hidden="1" customWidth="1" outlineLevel="2"/>
    <col min="26" max="26" width="18.7109375" style="5" hidden="1" customWidth="1" outlineLevel="1" collapsed="1"/>
    <col min="27" max="28" width="16.140625" style="5" hidden="1" customWidth="1" outlineLevel="2"/>
    <col min="29" max="29" width="16" hidden="1" customWidth="1" outlineLevel="2"/>
    <col min="30" max="30" width="9.140625" style="5" hidden="1" customWidth="1" outlineLevel="1" collapsed="1"/>
    <col min="31" max="32" width="9.140625" hidden="1" customWidth="1" outlineLevel="1"/>
    <col min="33" max="33" width="12.42578125" hidden="1" customWidth="1" outlineLevel="1"/>
    <col min="34" max="34" width="14.7109375" customWidth="1" collapsed="1"/>
    <col min="35" max="35" width="15.28515625" customWidth="1"/>
  </cols>
  <sheetData>
    <row r="1" spans="1:26" ht="16.5" hidden="1" outlineLevel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57"/>
      <c r="O1" s="57"/>
      <c r="P1" s="57"/>
      <c r="Q1" s="57"/>
      <c r="R1" s="57"/>
    </row>
    <row r="2" spans="1:26" ht="16.5" hidden="1" outlineLevel="1">
      <c r="A2" s="205" t="s">
        <v>92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57"/>
      <c r="O2" s="57"/>
      <c r="P2" s="57"/>
      <c r="Q2" s="57"/>
      <c r="R2" s="57"/>
    </row>
    <row r="3" spans="1:26" ht="16.5" hidden="1" outlineLevel="1">
      <c r="A3" s="205" t="s">
        <v>93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57"/>
      <c r="O3" s="57"/>
      <c r="P3" s="57"/>
      <c r="Q3" s="57"/>
      <c r="R3" s="57"/>
    </row>
    <row r="4" spans="1:26" ht="38.25" hidden="1" customHeight="1" outlineLevel="1">
      <c r="A4" s="205" t="s">
        <v>18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57"/>
      <c r="O4" s="57"/>
      <c r="P4" s="57"/>
      <c r="Q4" s="57"/>
      <c r="R4" s="57"/>
    </row>
    <row r="5" spans="1:26" ht="16.5" collapsed="1">
      <c r="A5" s="1" t="s">
        <v>19</v>
      </c>
      <c r="B5" s="1"/>
      <c r="C5" s="74"/>
    </row>
    <row r="6" spans="1:26" ht="25.5" customHeight="1">
      <c r="A6" s="55"/>
      <c r="B6" s="55"/>
      <c r="C6" s="75"/>
    </row>
    <row r="7" spans="1:26" ht="9.75" customHeight="1">
      <c r="A7" s="2"/>
      <c r="B7" s="2"/>
      <c r="C7" s="76"/>
    </row>
    <row r="8" spans="1:26" ht="16.5">
      <c r="A8" s="206" t="s">
        <v>295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68"/>
      <c r="S8" s="68"/>
      <c r="T8" s="68"/>
      <c r="U8" s="68"/>
      <c r="V8" s="68"/>
      <c r="W8" s="68"/>
      <c r="X8" s="68"/>
      <c r="Y8" s="68"/>
      <c r="Z8" s="68"/>
    </row>
    <row r="9" spans="1:26" ht="16.5">
      <c r="A9" s="207" t="s">
        <v>177</v>
      </c>
      <c r="B9" s="207"/>
      <c r="C9" s="207"/>
      <c r="D9" s="207"/>
      <c r="E9" s="207"/>
      <c r="F9" s="68"/>
      <c r="G9" s="68"/>
      <c r="H9" s="68"/>
      <c r="I9" s="68"/>
      <c r="J9" s="68"/>
      <c r="K9" s="68"/>
      <c r="L9" s="210" t="s">
        <v>298</v>
      </c>
      <c r="M9" s="210"/>
      <c r="N9" s="210"/>
      <c r="O9" s="210"/>
      <c r="P9" s="180"/>
      <c r="Q9" s="180"/>
      <c r="R9" s="68"/>
      <c r="S9" s="68"/>
      <c r="T9" s="68"/>
      <c r="U9" s="68"/>
      <c r="V9" s="68"/>
      <c r="W9" s="68"/>
      <c r="X9" s="68"/>
      <c r="Y9" s="68"/>
      <c r="Z9" s="68"/>
    </row>
    <row r="10" spans="1:26" ht="16.5">
      <c r="A10" s="207" t="s">
        <v>175</v>
      </c>
      <c r="B10" s="207"/>
      <c r="C10" s="207"/>
      <c r="D10" s="207"/>
      <c r="E10" s="207" t="s">
        <v>178</v>
      </c>
      <c r="F10" s="207"/>
      <c r="G10" s="178"/>
      <c r="H10" s="178"/>
      <c r="I10" s="68"/>
      <c r="J10" s="68"/>
      <c r="K10" s="68"/>
      <c r="L10" s="210"/>
      <c r="M10" s="210"/>
      <c r="N10" s="210"/>
      <c r="O10" s="210"/>
      <c r="P10" s="180"/>
      <c r="Q10" s="180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6.5">
      <c r="A11" s="207" t="s">
        <v>279</v>
      </c>
      <c r="B11" s="207"/>
      <c r="C11" s="207"/>
      <c r="D11" s="207"/>
      <c r="E11" s="207" t="s">
        <v>282</v>
      </c>
      <c r="F11" s="207"/>
      <c r="G11" s="207"/>
      <c r="H11" s="178"/>
      <c r="I11" s="68"/>
      <c r="J11" s="68"/>
      <c r="K11" s="68"/>
      <c r="L11" s="210"/>
      <c r="M11" s="210"/>
      <c r="N11" s="210"/>
      <c r="O11" s="210"/>
      <c r="P11" s="180"/>
      <c r="Q11" s="180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6.5">
      <c r="A12" s="207" t="s">
        <v>275</v>
      </c>
      <c r="B12" s="207"/>
      <c r="C12" s="207"/>
      <c r="D12" s="207"/>
      <c r="E12" s="178" t="s">
        <v>280</v>
      </c>
      <c r="F12" s="178"/>
      <c r="G12" s="178"/>
      <c r="H12" s="178"/>
      <c r="I12" s="178"/>
      <c r="J12" s="178"/>
      <c r="K12" s="178"/>
      <c r="L12" s="210"/>
      <c r="M12" s="210"/>
      <c r="N12" s="210"/>
      <c r="O12" s="210"/>
      <c r="P12" s="180"/>
      <c r="Q12" s="180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7.25">
      <c r="A13" s="207" t="s">
        <v>278</v>
      </c>
      <c r="B13" s="207"/>
      <c r="C13" s="207"/>
      <c r="D13" s="207"/>
      <c r="E13" s="125" t="s">
        <v>281</v>
      </c>
      <c r="F13" s="125"/>
      <c r="G13" s="125"/>
      <c r="H13" s="178"/>
      <c r="I13" s="178"/>
      <c r="J13" s="178"/>
      <c r="K13" s="178"/>
      <c r="L13" s="210" t="s">
        <v>299</v>
      </c>
      <c r="M13" s="210"/>
      <c r="N13" s="210"/>
      <c r="O13" s="210"/>
      <c r="P13" s="180"/>
      <c r="Q13" s="180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6.5">
      <c r="A14" s="207" t="s">
        <v>276</v>
      </c>
      <c r="B14" s="207"/>
      <c r="C14" s="207"/>
      <c r="D14" s="207"/>
      <c r="E14" s="207">
        <v>2463235719</v>
      </c>
      <c r="F14" s="207"/>
      <c r="G14" s="207"/>
      <c r="H14" s="178"/>
      <c r="I14" s="68"/>
      <c r="J14" s="68"/>
      <c r="K14" s="68"/>
      <c r="L14" s="210"/>
      <c r="M14" s="210"/>
      <c r="N14" s="210"/>
      <c r="O14" s="210"/>
      <c r="P14" s="180"/>
      <c r="Q14" s="180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6.5">
      <c r="A15" s="207" t="s">
        <v>277</v>
      </c>
      <c r="B15" s="207"/>
      <c r="C15" s="207"/>
      <c r="D15" s="207"/>
      <c r="E15" s="207">
        <v>246301001</v>
      </c>
      <c r="F15" s="207"/>
      <c r="G15" s="207"/>
      <c r="H15" s="178"/>
      <c r="I15" s="178"/>
      <c r="J15" s="178"/>
      <c r="K15" s="178"/>
      <c r="L15" s="210"/>
      <c r="M15" s="210"/>
      <c r="N15" s="210"/>
      <c r="O15" s="210"/>
      <c r="P15" s="180"/>
      <c r="Q15" s="180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6.5">
      <c r="A16" s="207" t="s">
        <v>227</v>
      </c>
      <c r="B16" s="207"/>
      <c r="C16" s="207"/>
      <c r="D16" s="207"/>
      <c r="E16" s="208" t="s">
        <v>228</v>
      </c>
      <c r="F16" s="208"/>
      <c r="G16" s="208"/>
      <c r="H16" s="179"/>
      <c r="I16" s="209"/>
      <c r="J16" s="209"/>
      <c r="K16" s="209"/>
      <c r="L16" s="209"/>
      <c r="M16" s="209"/>
      <c r="N16" s="209"/>
      <c r="O16" s="209"/>
      <c r="P16" s="180"/>
      <c r="Q16" s="180"/>
      <c r="R16" s="68"/>
      <c r="S16" s="68"/>
      <c r="T16" s="68"/>
      <c r="U16" s="68"/>
      <c r="V16" s="68"/>
      <c r="W16" s="68"/>
      <c r="X16" s="68"/>
      <c r="Y16" s="68"/>
      <c r="Z16" s="68"/>
    </row>
    <row r="17" spans="1:35" ht="16.5">
      <c r="A17" s="207" t="s">
        <v>176</v>
      </c>
      <c r="B17" s="207"/>
      <c r="C17" s="207"/>
      <c r="D17" s="207"/>
      <c r="E17" s="207" t="s">
        <v>178</v>
      </c>
      <c r="F17" s="207"/>
      <c r="G17" s="207"/>
      <c r="H17" s="207"/>
      <c r="I17" s="68"/>
      <c r="J17" s="68"/>
      <c r="K17" s="68"/>
      <c r="L17" s="68"/>
      <c r="M17" s="68"/>
      <c r="N17" s="68"/>
      <c r="O17" s="68"/>
      <c r="P17" s="180"/>
      <c r="Q17" s="180"/>
      <c r="R17" s="68"/>
      <c r="S17" s="68"/>
      <c r="T17" s="68"/>
      <c r="U17" s="68"/>
      <c r="V17" s="68"/>
      <c r="W17" s="68"/>
      <c r="X17" s="68"/>
      <c r="Y17" s="68"/>
      <c r="Z17" s="68"/>
    </row>
    <row r="18" spans="1:35" ht="15.75" thickBot="1">
      <c r="A18" s="3"/>
      <c r="B18" s="3"/>
      <c r="C18" s="77"/>
    </row>
    <row r="19" spans="1:35" ht="39" thickBot="1">
      <c r="A19" s="194" t="s">
        <v>1</v>
      </c>
      <c r="B19" s="197" t="s">
        <v>269</v>
      </c>
      <c r="C19" s="197" t="s">
        <v>293</v>
      </c>
      <c r="D19" s="197" t="s">
        <v>155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204"/>
      <c r="P19" s="112"/>
      <c r="Q19" s="198" t="s">
        <v>160</v>
      </c>
      <c r="R19" s="62"/>
      <c r="S19" s="43"/>
      <c r="T19" s="44"/>
      <c r="U19" s="44"/>
      <c r="V19" s="45"/>
      <c r="W19" s="45"/>
      <c r="X19" s="45"/>
      <c r="Y19" s="45"/>
      <c r="Z19" s="46"/>
      <c r="AA19" s="39" t="s">
        <v>139</v>
      </c>
      <c r="AB19" s="27" t="s">
        <v>141</v>
      </c>
    </row>
    <row r="20" spans="1:35" ht="45.75" customHeight="1" thickBot="1">
      <c r="A20" s="195"/>
      <c r="B20" s="182"/>
      <c r="C20" s="182"/>
      <c r="D20" s="182" t="s">
        <v>2</v>
      </c>
      <c r="E20" s="182" t="s">
        <v>151</v>
      </c>
      <c r="F20" s="182" t="s">
        <v>152</v>
      </c>
      <c r="G20" s="182"/>
      <c r="H20" s="182" t="s">
        <v>153</v>
      </c>
      <c r="I20" s="182" t="s">
        <v>154</v>
      </c>
      <c r="J20" s="182"/>
      <c r="K20" s="182" t="s">
        <v>3</v>
      </c>
      <c r="L20" s="182" t="s">
        <v>156</v>
      </c>
      <c r="M20" s="182"/>
      <c r="N20" s="182" t="s">
        <v>283</v>
      </c>
      <c r="O20" s="175" t="s">
        <v>272</v>
      </c>
      <c r="P20" s="111"/>
      <c r="Q20" s="199"/>
      <c r="R20" s="11"/>
      <c r="S20" s="43"/>
      <c r="T20" s="44"/>
      <c r="U20" s="44"/>
      <c r="V20" s="45"/>
      <c r="W20" s="45"/>
      <c r="X20" s="45"/>
      <c r="Y20" s="45"/>
      <c r="Z20" s="46"/>
      <c r="AA20" s="60"/>
      <c r="AB20" s="61"/>
    </row>
    <row r="21" spans="1:35" ht="69" customHeight="1" thickBot="1">
      <c r="A21" s="196"/>
      <c r="B21" s="183"/>
      <c r="C21" s="183"/>
      <c r="D21" s="183"/>
      <c r="E21" s="183"/>
      <c r="F21" s="170" t="s">
        <v>270</v>
      </c>
      <c r="G21" s="176" t="s">
        <v>145</v>
      </c>
      <c r="H21" s="183"/>
      <c r="I21" s="130" t="s">
        <v>271</v>
      </c>
      <c r="J21" s="176" t="s">
        <v>145</v>
      </c>
      <c r="K21" s="183"/>
      <c r="L21" s="170" t="s">
        <v>157</v>
      </c>
      <c r="M21" s="170" t="s">
        <v>158</v>
      </c>
      <c r="N21" s="183"/>
      <c r="O21" s="177" t="s">
        <v>273</v>
      </c>
      <c r="P21" s="174" t="s">
        <v>159</v>
      </c>
      <c r="Q21" s="200"/>
      <c r="R21" s="4" t="s">
        <v>20</v>
      </c>
      <c r="S21" s="43" t="s">
        <v>120</v>
      </c>
      <c r="T21" s="44" t="s">
        <v>142</v>
      </c>
      <c r="U21" s="44" t="s">
        <v>137</v>
      </c>
      <c r="V21" s="45" t="s">
        <v>136</v>
      </c>
      <c r="W21" s="45" t="s">
        <v>143</v>
      </c>
      <c r="X21" s="45" t="s">
        <v>138</v>
      </c>
      <c r="Y21" s="45" t="s">
        <v>140</v>
      </c>
      <c r="Z21" s="46" t="s">
        <v>144</v>
      </c>
      <c r="AA21" s="60"/>
      <c r="AB21" s="61"/>
      <c r="AH21" t="s">
        <v>267</v>
      </c>
    </row>
    <row r="22" spans="1:35" ht="22.5" customHeight="1" thickBot="1">
      <c r="A22" s="113">
        <v>1</v>
      </c>
      <c r="B22" s="114">
        <v>2</v>
      </c>
      <c r="C22" s="114">
        <v>3</v>
      </c>
      <c r="D22" s="114">
        <v>4</v>
      </c>
      <c r="E22" s="114">
        <v>5</v>
      </c>
      <c r="F22" s="114">
        <v>6</v>
      </c>
      <c r="G22" s="114">
        <v>7</v>
      </c>
      <c r="H22" s="114">
        <v>8</v>
      </c>
      <c r="I22" s="117">
        <v>9</v>
      </c>
      <c r="J22" s="114">
        <v>10</v>
      </c>
      <c r="K22" s="114">
        <v>11</v>
      </c>
      <c r="L22" s="114">
        <v>12</v>
      </c>
      <c r="M22" s="114">
        <v>13</v>
      </c>
      <c r="N22" s="114">
        <v>14</v>
      </c>
      <c r="O22" s="115">
        <v>15</v>
      </c>
      <c r="P22" s="65">
        <v>14</v>
      </c>
      <c r="Q22" s="12">
        <v>15</v>
      </c>
      <c r="R22" s="6">
        <v>16</v>
      </c>
      <c r="S22" s="40"/>
      <c r="T22" s="40"/>
      <c r="U22" s="41"/>
      <c r="V22" s="42"/>
      <c r="W22" s="42"/>
      <c r="X22" s="42"/>
      <c r="Y22" s="42"/>
      <c r="Z22" s="42"/>
      <c r="AA22" s="23"/>
      <c r="AB22" s="28"/>
    </row>
    <row r="23" spans="1:35" ht="15.75">
      <c r="A23" s="131">
        <v>1</v>
      </c>
      <c r="B23" s="132" t="s">
        <v>162</v>
      </c>
      <c r="C23" s="133">
        <v>6410000</v>
      </c>
      <c r="D23" s="157" t="s">
        <v>21</v>
      </c>
      <c r="E23" s="101" t="s">
        <v>163</v>
      </c>
      <c r="F23" s="101">
        <v>876</v>
      </c>
      <c r="G23" s="101" t="s">
        <v>294</v>
      </c>
      <c r="H23" s="101">
        <v>1</v>
      </c>
      <c r="I23" s="132" t="s">
        <v>274</v>
      </c>
      <c r="J23" s="101" t="s">
        <v>161</v>
      </c>
      <c r="K23" s="143">
        <f>190*0.4</f>
        <v>76</v>
      </c>
      <c r="L23" s="100" t="s">
        <v>258</v>
      </c>
      <c r="M23" s="100">
        <v>2012</v>
      </c>
      <c r="N23" s="101">
        <v>6</v>
      </c>
      <c r="O23" s="101"/>
      <c r="P23" s="7"/>
      <c r="Q23" s="7"/>
      <c r="R23" s="84" t="s">
        <v>4</v>
      </c>
      <c r="S23" s="79"/>
      <c r="T23" s="34">
        <f>U23+V23</f>
        <v>0</v>
      </c>
      <c r="U23" s="34"/>
      <c r="V23" s="34"/>
      <c r="W23" s="34">
        <f>X23++Y23</f>
        <v>0</v>
      </c>
      <c r="X23" s="34"/>
      <c r="Y23" s="34"/>
      <c r="Z23" s="35">
        <f>AA23+AB23</f>
        <v>0</v>
      </c>
      <c r="AA23" s="31">
        <f t="shared" ref="AA23:AB54" si="0">X23-U23</f>
        <v>0</v>
      </c>
      <c r="AB23" s="28">
        <f t="shared" si="0"/>
        <v>0</v>
      </c>
      <c r="AC23" s="5">
        <f t="shared" ref="AC23:AC54" si="1">K23-X23</f>
        <v>76</v>
      </c>
      <c r="AE23" s="5">
        <f>K23-AC23</f>
        <v>0</v>
      </c>
      <c r="AG23" s="5">
        <f>U23-X23</f>
        <v>0</v>
      </c>
      <c r="AH23" s="33"/>
      <c r="AI23" s="5">
        <f>AH23-K23</f>
        <v>-76</v>
      </c>
    </row>
    <row r="24" spans="1:35" ht="15.75">
      <c r="A24" s="134">
        <v>2</v>
      </c>
      <c r="B24" s="13" t="s">
        <v>162</v>
      </c>
      <c r="C24" s="106">
        <v>6420000</v>
      </c>
      <c r="D24" s="158" t="s">
        <v>5</v>
      </c>
      <c r="E24" s="13" t="s">
        <v>163</v>
      </c>
      <c r="F24" s="13">
        <v>876</v>
      </c>
      <c r="G24" s="13" t="s">
        <v>294</v>
      </c>
      <c r="H24" s="13">
        <v>1</v>
      </c>
      <c r="I24" s="144" t="s">
        <v>274</v>
      </c>
      <c r="J24" s="13" t="s">
        <v>161</v>
      </c>
      <c r="K24" s="145">
        <f>190*0.3</f>
        <v>57</v>
      </c>
      <c r="L24" s="14" t="s">
        <v>258</v>
      </c>
      <c r="M24" s="14">
        <v>2012</v>
      </c>
      <c r="N24" s="13">
        <v>6</v>
      </c>
      <c r="O24" s="13"/>
      <c r="P24" s="71"/>
      <c r="Q24" s="71"/>
      <c r="R24" s="8" t="s">
        <v>4</v>
      </c>
      <c r="S24" s="31">
        <v>40</v>
      </c>
      <c r="T24" s="23">
        <f t="shared" ref="T24:T87" si="2">U24+V24</f>
        <v>0</v>
      </c>
      <c r="U24" s="23"/>
      <c r="V24" s="23"/>
      <c r="W24" s="23">
        <f t="shared" ref="W24:W87" si="3">X24++Y24</f>
        <v>0</v>
      </c>
      <c r="X24" s="23"/>
      <c r="Y24" s="23"/>
      <c r="Z24" s="28">
        <f t="shared" ref="Z24:Z87" si="4">AA24+AB24</f>
        <v>0</v>
      </c>
      <c r="AA24" s="31">
        <f t="shared" si="0"/>
        <v>0</v>
      </c>
      <c r="AB24" s="28">
        <f t="shared" si="0"/>
        <v>0</v>
      </c>
      <c r="AC24" s="5">
        <f t="shared" si="1"/>
        <v>57</v>
      </c>
      <c r="AE24" s="5">
        <f>K24-AC24</f>
        <v>0</v>
      </c>
      <c r="AG24" s="5">
        <f t="shared" ref="AG24:AG87" si="5">U24-X24</f>
        <v>0</v>
      </c>
      <c r="AH24" s="9"/>
      <c r="AI24" s="5">
        <f t="shared" ref="AI24:AI86" si="6">AH24-K24</f>
        <v>-57</v>
      </c>
    </row>
    <row r="25" spans="1:35" ht="15.75">
      <c r="A25" s="134">
        <v>3</v>
      </c>
      <c r="B25" s="13" t="s">
        <v>162</v>
      </c>
      <c r="C25" s="106">
        <v>6410000</v>
      </c>
      <c r="D25" s="158" t="s">
        <v>70</v>
      </c>
      <c r="E25" s="13" t="s">
        <v>163</v>
      </c>
      <c r="F25" s="13">
        <v>876</v>
      </c>
      <c r="G25" s="13" t="s">
        <v>294</v>
      </c>
      <c r="H25" s="13">
        <v>1</v>
      </c>
      <c r="I25" s="144" t="s">
        <v>274</v>
      </c>
      <c r="J25" s="13" t="s">
        <v>161</v>
      </c>
      <c r="K25" s="145">
        <f>190*0.3</f>
        <v>57</v>
      </c>
      <c r="L25" s="14" t="s">
        <v>258</v>
      </c>
      <c r="M25" s="14">
        <v>2012</v>
      </c>
      <c r="N25" s="13">
        <v>6</v>
      </c>
      <c r="O25" s="13"/>
      <c r="P25" s="71"/>
      <c r="Q25" s="71"/>
      <c r="R25" s="8" t="s">
        <v>4</v>
      </c>
      <c r="S25" s="31"/>
      <c r="T25" s="23">
        <f t="shared" si="2"/>
        <v>0</v>
      </c>
      <c r="U25" s="23"/>
      <c r="V25" s="23"/>
      <c r="W25" s="23">
        <f t="shared" si="3"/>
        <v>0</v>
      </c>
      <c r="X25" s="23"/>
      <c r="Y25" s="23"/>
      <c r="Z25" s="28">
        <f t="shared" si="4"/>
        <v>0</v>
      </c>
      <c r="AA25" s="31">
        <f t="shared" si="0"/>
        <v>0</v>
      </c>
      <c r="AB25" s="28">
        <f>Y25-V25</f>
        <v>0</v>
      </c>
      <c r="AC25" s="5">
        <f t="shared" si="1"/>
        <v>57</v>
      </c>
      <c r="AE25" s="5">
        <f>K25-AC25</f>
        <v>0</v>
      </c>
      <c r="AG25" s="5">
        <f t="shared" si="5"/>
        <v>0</v>
      </c>
      <c r="AH25" s="9"/>
      <c r="AI25" s="5">
        <f t="shared" si="6"/>
        <v>-57</v>
      </c>
    </row>
    <row r="26" spans="1:35" ht="15.75">
      <c r="A26" s="134">
        <v>4</v>
      </c>
      <c r="B26" s="13" t="s">
        <v>162</v>
      </c>
      <c r="C26" s="106">
        <v>6420090</v>
      </c>
      <c r="D26" s="135" t="s">
        <v>76</v>
      </c>
      <c r="E26" s="13" t="s">
        <v>164</v>
      </c>
      <c r="F26" s="13">
        <v>876</v>
      </c>
      <c r="G26" s="13" t="s">
        <v>294</v>
      </c>
      <c r="H26" s="13">
        <v>1</v>
      </c>
      <c r="I26" s="144" t="s">
        <v>274</v>
      </c>
      <c r="J26" s="13" t="s">
        <v>161</v>
      </c>
      <c r="K26" s="145">
        <v>600</v>
      </c>
      <c r="L26" s="14" t="s">
        <v>258</v>
      </c>
      <c r="M26" s="14">
        <v>2012</v>
      </c>
      <c r="N26" s="13">
        <v>6</v>
      </c>
      <c r="O26" s="13"/>
      <c r="P26" s="71"/>
      <c r="Q26" s="71"/>
      <c r="R26" s="8" t="s">
        <v>6</v>
      </c>
      <c r="S26" s="31">
        <v>36.057160000000003</v>
      </c>
      <c r="T26" s="23">
        <f t="shared" si="2"/>
        <v>36.057160000000003</v>
      </c>
      <c r="U26" s="23">
        <v>36.057160000000003</v>
      </c>
      <c r="V26" s="23"/>
      <c r="W26" s="23">
        <f t="shared" si="3"/>
        <v>36.057160000000003</v>
      </c>
      <c r="X26" s="23">
        <v>36.057160000000003</v>
      </c>
      <c r="Y26" s="23"/>
      <c r="Z26" s="28">
        <f t="shared" si="4"/>
        <v>0</v>
      </c>
      <c r="AA26" s="31">
        <f t="shared" si="0"/>
        <v>0</v>
      </c>
      <c r="AB26" s="28">
        <f t="shared" si="0"/>
        <v>0</v>
      </c>
      <c r="AC26" s="5">
        <f t="shared" si="1"/>
        <v>563.94284000000005</v>
      </c>
      <c r="AE26" s="5"/>
      <c r="AG26" s="5">
        <f t="shared" si="5"/>
        <v>0</v>
      </c>
      <c r="AH26" s="9">
        <f>[1]TDSheet!$J$3417+[1]TDSheet!$J$3422</f>
        <v>547.14</v>
      </c>
      <c r="AI26" s="5">
        <f t="shared" si="6"/>
        <v>-52.860000000000014</v>
      </c>
    </row>
    <row r="27" spans="1:35" ht="15.75">
      <c r="A27" s="134">
        <v>5</v>
      </c>
      <c r="B27" s="13" t="s">
        <v>162</v>
      </c>
      <c r="C27" s="106">
        <v>6400000</v>
      </c>
      <c r="D27" s="135" t="s">
        <v>22</v>
      </c>
      <c r="E27" s="13" t="s">
        <v>165</v>
      </c>
      <c r="F27" s="13">
        <v>876</v>
      </c>
      <c r="G27" s="13" t="s">
        <v>294</v>
      </c>
      <c r="H27" s="13">
        <v>1</v>
      </c>
      <c r="I27" s="144" t="s">
        <v>274</v>
      </c>
      <c r="J27" s="13" t="s">
        <v>161</v>
      </c>
      <c r="K27" s="145">
        <v>110</v>
      </c>
      <c r="L27" s="14" t="s">
        <v>258</v>
      </c>
      <c r="M27" s="14">
        <v>2012</v>
      </c>
      <c r="N27" s="13">
        <v>6</v>
      </c>
      <c r="O27" s="13"/>
      <c r="P27" s="71"/>
      <c r="Q27" s="71"/>
      <c r="R27" s="8" t="s">
        <v>4</v>
      </c>
      <c r="S27" s="31">
        <v>15.54602</v>
      </c>
      <c r="T27" s="23">
        <f t="shared" si="2"/>
        <v>0</v>
      </c>
      <c r="U27" s="23">
        <v>0</v>
      </c>
      <c r="V27" s="23"/>
      <c r="W27" s="23">
        <f t="shared" si="3"/>
        <v>15.54602</v>
      </c>
      <c r="X27" s="23">
        <v>15.54602</v>
      </c>
      <c r="Y27" s="23"/>
      <c r="Z27" s="28">
        <f t="shared" si="4"/>
        <v>15.54602</v>
      </c>
      <c r="AA27" s="31">
        <f t="shared" si="0"/>
        <v>15.54602</v>
      </c>
      <c r="AB27" s="28">
        <f t="shared" si="0"/>
        <v>0</v>
      </c>
      <c r="AC27" s="5">
        <f t="shared" si="1"/>
        <v>94.453980000000001</v>
      </c>
      <c r="AE27" s="5"/>
      <c r="AG27" s="5">
        <f t="shared" si="5"/>
        <v>-15.54602</v>
      </c>
      <c r="AH27" s="9">
        <f>[1]TDSheet!$J$3373</f>
        <v>61.97</v>
      </c>
      <c r="AI27" s="5">
        <f t="shared" si="6"/>
        <v>-48.03</v>
      </c>
    </row>
    <row r="28" spans="1:35" ht="15.75">
      <c r="A28" s="134">
        <v>6</v>
      </c>
      <c r="B28" s="13" t="s">
        <v>162</v>
      </c>
      <c r="C28" s="106">
        <v>6420000</v>
      </c>
      <c r="D28" s="135" t="s">
        <v>23</v>
      </c>
      <c r="E28" s="13" t="s">
        <v>165</v>
      </c>
      <c r="F28" s="13">
        <v>876</v>
      </c>
      <c r="G28" s="13" t="s">
        <v>294</v>
      </c>
      <c r="H28" s="13">
        <v>1</v>
      </c>
      <c r="I28" s="144" t="s">
        <v>274</v>
      </c>
      <c r="J28" s="13" t="s">
        <v>161</v>
      </c>
      <c r="K28" s="145">
        <v>5</v>
      </c>
      <c r="L28" s="14" t="s">
        <v>258</v>
      </c>
      <c r="M28" s="14">
        <v>2012</v>
      </c>
      <c r="N28" s="13">
        <v>6</v>
      </c>
      <c r="O28" s="13"/>
      <c r="P28" s="71"/>
      <c r="Q28" s="71"/>
      <c r="R28" s="8" t="s">
        <v>4</v>
      </c>
      <c r="S28" s="31"/>
      <c r="T28" s="23">
        <f t="shared" si="2"/>
        <v>0</v>
      </c>
      <c r="U28" s="23"/>
      <c r="V28" s="23"/>
      <c r="W28" s="23">
        <f t="shared" si="3"/>
        <v>0</v>
      </c>
      <c r="X28" s="23"/>
      <c r="Y28" s="23"/>
      <c r="Z28" s="28">
        <f t="shared" si="4"/>
        <v>0</v>
      </c>
      <c r="AA28" s="31">
        <f t="shared" si="0"/>
        <v>0</v>
      </c>
      <c r="AB28" s="28">
        <f t="shared" si="0"/>
        <v>0</v>
      </c>
      <c r="AC28" s="5">
        <f t="shared" si="1"/>
        <v>5</v>
      </c>
      <c r="AE28" s="5">
        <f>K28-AC28</f>
        <v>0</v>
      </c>
      <c r="AG28" s="5">
        <f t="shared" si="5"/>
        <v>0</v>
      </c>
      <c r="AH28" s="9">
        <f>[1]TDSheet!$J$3368</f>
        <v>3.58</v>
      </c>
      <c r="AI28" s="5">
        <f t="shared" si="6"/>
        <v>-1.42</v>
      </c>
    </row>
    <row r="29" spans="1:35" ht="15.75">
      <c r="A29" s="134">
        <v>7</v>
      </c>
      <c r="B29" s="13" t="s">
        <v>162</v>
      </c>
      <c r="C29" s="106">
        <v>6420000</v>
      </c>
      <c r="D29" s="135" t="s">
        <v>81</v>
      </c>
      <c r="E29" s="13" t="s">
        <v>165</v>
      </c>
      <c r="F29" s="13">
        <v>876</v>
      </c>
      <c r="G29" s="13" t="s">
        <v>294</v>
      </c>
      <c r="H29" s="13">
        <v>1</v>
      </c>
      <c r="I29" s="144" t="s">
        <v>274</v>
      </c>
      <c r="J29" s="13" t="s">
        <v>161</v>
      </c>
      <c r="K29" s="145">
        <f>1470-400</f>
        <v>1070</v>
      </c>
      <c r="L29" s="14" t="s">
        <v>258</v>
      </c>
      <c r="M29" s="14">
        <v>2012</v>
      </c>
      <c r="N29" s="13">
        <v>6</v>
      </c>
      <c r="O29" s="13"/>
      <c r="P29" s="71"/>
      <c r="Q29" s="71"/>
      <c r="R29" s="8" t="s">
        <v>4</v>
      </c>
      <c r="S29" s="80">
        <f>284.78588</f>
        <v>284.78588000000002</v>
      </c>
      <c r="T29" s="26">
        <f t="shared" si="2"/>
        <v>125.78904</v>
      </c>
      <c r="U29" s="26">
        <f>99.58064+26.2084</f>
        <v>125.78904</v>
      </c>
      <c r="V29" s="26"/>
      <c r="W29" s="26">
        <f t="shared" si="3"/>
        <v>352.95564000000002</v>
      </c>
      <c r="X29" s="26">
        <f>253.58818+99.36746</f>
        <v>352.95564000000002</v>
      </c>
      <c r="Y29" s="26"/>
      <c r="Z29" s="28">
        <f t="shared" si="4"/>
        <v>227.16660000000002</v>
      </c>
      <c r="AA29" s="31">
        <f t="shared" si="0"/>
        <v>227.16660000000002</v>
      </c>
      <c r="AB29" s="28">
        <f t="shared" si="0"/>
        <v>0</v>
      </c>
      <c r="AC29" s="5">
        <f t="shared" si="1"/>
        <v>717.04435999999998</v>
      </c>
      <c r="AE29" s="5"/>
      <c r="AG29" s="5">
        <f t="shared" si="5"/>
        <v>-227.16660000000002</v>
      </c>
      <c r="AH29" s="9">
        <f>[1]TDSheet!$J$3326+[1]TDSheet!$J$3345</f>
        <v>534.32000000000005</v>
      </c>
      <c r="AI29" s="5">
        <f t="shared" si="6"/>
        <v>-535.67999999999995</v>
      </c>
    </row>
    <row r="30" spans="1:35" ht="47.25">
      <c r="A30" s="134">
        <v>8</v>
      </c>
      <c r="B30" s="13" t="s">
        <v>162</v>
      </c>
      <c r="C30" s="106">
        <v>6420019</v>
      </c>
      <c r="D30" s="135" t="s">
        <v>79</v>
      </c>
      <c r="E30" s="13" t="s">
        <v>166</v>
      </c>
      <c r="F30" s="13">
        <v>876</v>
      </c>
      <c r="G30" s="13" t="s">
        <v>294</v>
      </c>
      <c r="H30" s="13">
        <v>1</v>
      </c>
      <c r="I30" s="144" t="s">
        <v>274</v>
      </c>
      <c r="J30" s="13" t="s">
        <v>161</v>
      </c>
      <c r="K30" s="145">
        <f>60+400+800</f>
        <v>1260</v>
      </c>
      <c r="L30" s="14" t="s">
        <v>258</v>
      </c>
      <c r="M30" s="14">
        <v>2012</v>
      </c>
      <c r="N30" s="13">
        <v>6</v>
      </c>
      <c r="O30" s="13"/>
      <c r="P30" s="71"/>
      <c r="Q30" s="71"/>
      <c r="R30" s="8" t="s">
        <v>4</v>
      </c>
      <c r="S30" s="80">
        <v>12.29843</v>
      </c>
      <c r="T30" s="26">
        <f t="shared" si="2"/>
        <v>8.0434900000000003</v>
      </c>
      <c r="U30" s="26">
        <v>8.0434900000000003</v>
      </c>
      <c r="V30" s="26"/>
      <c r="W30" s="26">
        <f t="shared" si="3"/>
        <v>280.34343000000001</v>
      </c>
      <c r="X30" s="26">
        <v>280.34343000000001</v>
      </c>
      <c r="Y30" s="26"/>
      <c r="Z30" s="28">
        <f t="shared" si="4"/>
        <v>272.29993999999999</v>
      </c>
      <c r="AA30" s="31">
        <f t="shared" si="0"/>
        <v>272.29993999999999</v>
      </c>
      <c r="AB30" s="28">
        <f t="shared" si="0"/>
        <v>0</v>
      </c>
      <c r="AC30" s="5">
        <f t="shared" si="1"/>
        <v>979.65656999999999</v>
      </c>
      <c r="AE30" s="5"/>
      <c r="AG30" s="5">
        <f t="shared" si="5"/>
        <v>-272.29993999999999</v>
      </c>
      <c r="AH30" s="9">
        <f>[1]TDSheet!$J$3351+[1]TDSheet!$J$3992</f>
        <v>916.39</v>
      </c>
      <c r="AI30" s="5">
        <f t="shared" si="6"/>
        <v>-343.61</v>
      </c>
    </row>
    <row r="31" spans="1:35" ht="30">
      <c r="A31" s="134">
        <v>9</v>
      </c>
      <c r="B31" s="13" t="s">
        <v>162</v>
      </c>
      <c r="C31" s="106">
        <v>6420000</v>
      </c>
      <c r="D31" s="135" t="s">
        <v>80</v>
      </c>
      <c r="E31" s="13" t="s">
        <v>165</v>
      </c>
      <c r="F31" s="13">
        <v>876</v>
      </c>
      <c r="G31" s="13" t="s">
        <v>294</v>
      </c>
      <c r="H31" s="13">
        <v>1</v>
      </c>
      <c r="I31" s="144" t="s">
        <v>274</v>
      </c>
      <c r="J31" s="13" t="s">
        <v>161</v>
      </c>
      <c r="K31" s="145">
        <v>65</v>
      </c>
      <c r="L31" s="14" t="s">
        <v>258</v>
      </c>
      <c r="M31" s="14">
        <v>2012</v>
      </c>
      <c r="N31" s="13">
        <v>6</v>
      </c>
      <c r="O31" s="13"/>
      <c r="P31" s="71"/>
      <c r="Q31" s="71"/>
      <c r="R31" s="8" t="s">
        <v>4</v>
      </c>
      <c r="S31" s="80"/>
      <c r="T31" s="26">
        <f t="shared" si="2"/>
        <v>0</v>
      </c>
      <c r="U31" s="26"/>
      <c r="V31" s="26"/>
      <c r="W31" s="26">
        <f t="shared" si="3"/>
        <v>0</v>
      </c>
      <c r="X31" s="26"/>
      <c r="Y31" s="26"/>
      <c r="Z31" s="28">
        <f t="shared" si="4"/>
        <v>0</v>
      </c>
      <c r="AA31" s="31">
        <f t="shared" si="0"/>
        <v>0</v>
      </c>
      <c r="AB31" s="28">
        <f t="shared" si="0"/>
        <v>0</v>
      </c>
      <c r="AC31" s="5">
        <f t="shared" si="1"/>
        <v>65</v>
      </c>
      <c r="AE31" s="5">
        <f>K31-AC31</f>
        <v>0</v>
      </c>
      <c r="AG31" s="5">
        <f t="shared" si="5"/>
        <v>0</v>
      </c>
      <c r="AH31" s="9"/>
      <c r="AI31" s="5">
        <f t="shared" si="6"/>
        <v>-65</v>
      </c>
    </row>
    <row r="32" spans="1:35" ht="15.75">
      <c r="A32" s="134">
        <v>10</v>
      </c>
      <c r="B32" s="13" t="s">
        <v>162</v>
      </c>
      <c r="C32" s="106">
        <v>6220050</v>
      </c>
      <c r="D32" s="135" t="s">
        <v>24</v>
      </c>
      <c r="E32" s="13" t="s">
        <v>167</v>
      </c>
      <c r="F32" s="13">
        <v>876</v>
      </c>
      <c r="G32" s="13" t="s">
        <v>294</v>
      </c>
      <c r="H32" s="13">
        <v>1</v>
      </c>
      <c r="I32" s="144" t="s">
        <v>274</v>
      </c>
      <c r="J32" s="13" t="s">
        <v>161</v>
      </c>
      <c r="K32" s="145">
        <v>157600</v>
      </c>
      <c r="L32" s="14" t="s">
        <v>258</v>
      </c>
      <c r="M32" s="14">
        <v>2012</v>
      </c>
      <c r="N32" s="13">
        <v>6</v>
      </c>
      <c r="O32" s="13"/>
      <c r="P32" s="71"/>
      <c r="Q32" s="71"/>
      <c r="R32" s="8" t="s">
        <v>4</v>
      </c>
      <c r="S32" s="80">
        <v>10292.914500000001</v>
      </c>
      <c r="T32" s="26">
        <f t="shared" si="2"/>
        <v>10292.914500000001</v>
      </c>
      <c r="U32" s="26">
        <f>10292.9145</f>
        <v>10292.914500000001</v>
      </c>
      <c r="V32" s="26"/>
      <c r="W32" s="26">
        <f t="shared" si="3"/>
        <v>11042.914500000001</v>
      </c>
      <c r="X32" s="26">
        <f>11042.9145</f>
        <v>11042.914500000001</v>
      </c>
      <c r="Y32" s="26"/>
      <c r="Z32" s="28">
        <f t="shared" si="4"/>
        <v>750</v>
      </c>
      <c r="AA32" s="31">
        <f t="shared" si="0"/>
        <v>750</v>
      </c>
      <c r="AB32" s="28">
        <f t="shared" si="0"/>
        <v>0</v>
      </c>
      <c r="AC32" s="5">
        <f t="shared" si="1"/>
        <v>146557.08549999999</v>
      </c>
      <c r="AE32" s="5"/>
      <c r="AG32" s="5">
        <f t="shared" si="5"/>
        <v>-750</v>
      </c>
      <c r="AH32" s="9">
        <f>[1]TDSheet!$J$3242</f>
        <v>477258.11</v>
      </c>
      <c r="AI32" s="5">
        <f>AH32-K32-K33</f>
        <v>-44442.090000000026</v>
      </c>
    </row>
    <row r="33" spans="1:35" ht="15.75">
      <c r="A33" s="134">
        <v>11</v>
      </c>
      <c r="B33" s="13" t="s">
        <v>162</v>
      </c>
      <c r="C33" s="106">
        <v>6220050</v>
      </c>
      <c r="D33" s="135" t="s">
        <v>25</v>
      </c>
      <c r="E33" s="13" t="s">
        <v>167</v>
      </c>
      <c r="F33" s="13">
        <v>876</v>
      </c>
      <c r="G33" s="13" t="s">
        <v>294</v>
      </c>
      <c r="H33" s="13">
        <v>1</v>
      </c>
      <c r="I33" s="144" t="s">
        <v>274</v>
      </c>
      <c r="J33" s="13" t="s">
        <v>161</v>
      </c>
      <c r="K33" s="145">
        <v>364100.2</v>
      </c>
      <c r="L33" s="14" t="s">
        <v>258</v>
      </c>
      <c r="M33" s="14">
        <v>2012</v>
      </c>
      <c r="N33" s="13">
        <v>6</v>
      </c>
      <c r="O33" s="13"/>
      <c r="P33" s="71"/>
      <c r="Q33" s="71"/>
      <c r="R33" s="8" t="s">
        <v>4</v>
      </c>
      <c r="S33" s="80"/>
      <c r="T33" s="26">
        <f t="shared" si="2"/>
        <v>0</v>
      </c>
      <c r="U33" s="26"/>
      <c r="V33" s="26"/>
      <c r="W33" s="26">
        <f t="shared" si="3"/>
        <v>0</v>
      </c>
      <c r="X33" s="26"/>
      <c r="Y33" s="26"/>
      <c r="Z33" s="28">
        <f t="shared" si="4"/>
        <v>0</v>
      </c>
      <c r="AA33" s="31">
        <f t="shared" si="0"/>
        <v>0</v>
      </c>
      <c r="AB33" s="28">
        <f t="shared" si="0"/>
        <v>0</v>
      </c>
      <c r="AC33" s="5">
        <f t="shared" si="1"/>
        <v>364100.2</v>
      </c>
      <c r="AE33" s="5">
        <f>K33-AC33</f>
        <v>0</v>
      </c>
      <c r="AG33" s="5">
        <f t="shared" si="5"/>
        <v>0</v>
      </c>
      <c r="AH33" s="9"/>
      <c r="AI33" s="5"/>
    </row>
    <row r="34" spans="1:35" ht="30">
      <c r="A34" s="134">
        <v>12</v>
      </c>
      <c r="B34" s="13" t="s">
        <v>162</v>
      </c>
      <c r="C34" s="106">
        <v>9212020</v>
      </c>
      <c r="D34" s="135" t="s">
        <v>119</v>
      </c>
      <c r="E34" s="13" t="s">
        <v>167</v>
      </c>
      <c r="F34" s="13">
        <v>876</v>
      </c>
      <c r="G34" s="13" t="s">
        <v>294</v>
      </c>
      <c r="H34" s="13">
        <v>1</v>
      </c>
      <c r="I34" s="144" t="s">
        <v>274</v>
      </c>
      <c r="J34" s="13" t="s">
        <v>161</v>
      </c>
      <c r="K34" s="145">
        <f>2153.112*0.5</f>
        <v>1076.556</v>
      </c>
      <c r="L34" s="14" t="s">
        <v>258</v>
      </c>
      <c r="M34" s="14">
        <v>2012</v>
      </c>
      <c r="N34" s="13">
        <v>6</v>
      </c>
      <c r="O34" s="13"/>
      <c r="P34" s="71"/>
      <c r="Q34" s="71"/>
      <c r="R34" s="8" t="s">
        <v>4</v>
      </c>
      <c r="S34" s="80"/>
      <c r="T34" s="26">
        <f t="shared" si="2"/>
        <v>0</v>
      </c>
      <c r="U34" s="26"/>
      <c r="V34" s="26"/>
      <c r="W34" s="26">
        <f t="shared" si="3"/>
        <v>0</v>
      </c>
      <c r="X34" s="26"/>
      <c r="Y34" s="26"/>
      <c r="Z34" s="28">
        <f t="shared" si="4"/>
        <v>0</v>
      </c>
      <c r="AA34" s="31">
        <f t="shared" si="0"/>
        <v>0</v>
      </c>
      <c r="AB34" s="28">
        <f t="shared" si="0"/>
        <v>0</v>
      </c>
      <c r="AC34" s="5">
        <f t="shared" si="1"/>
        <v>1076.556</v>
      </c>
      <c r="AE34" s="5">
        <f>K34-AC34</f>
        <v>0</v>
      </c>
      <c r="AG34" s="5">
        <f t="shared" si="5"/>
        <v>0</v>
      </c>
      <c r="AH34" s="9"/>
      <c r="AI34" s="5">
        <f t="shared" si="6"/>
        <v>-1076.556</v>
      </c>
    </row>
    <row r="35" spans="1:35" ht="30">
      <c r="A35" s="134">
        <v>13</v>
      </c>
      <c r="B35" s="13" t="s">
        <v>162</v>
      </c>
      <c r="C35" s="106">
        <v>9212020</v>
      </c>
      <c r="D35" s="135" t="s">
        <v>82</v>
      </c>
      <c r="E35" s="13" t="s">
        <v>167</v>
      </c>
      <c r="F35" s="13">
        <v>876</v>
      </c>
      <c r="G35" s="13" t="s">
        <v>294</v>
      </c>
      <c r="H35" s="13">
        <v>1</v>
      </c>
      <c r="I35" s="144" t="s">
        <v>274</v>
      </c>
      <c r="J35" s="13" t="s">
        <v>161</v>
      </c>
      <c r="K35" s="145">
        <v>476.56</v>
      </c>
      <c r="L35" s="14" t="s">
        <v>258</v>
      </c>
      <c r="M35" s="14">
        <v>2012</v>
      </c>
      <c r="N35" s="13">
        <v>6</v>
      </c>
      <c r="O35" s="13"/>
      <c r="P35" s="71"/>
      <c r="Q35" s="71"/>
      <c r="R35" s="8" t="s">
        <v>4</v>
      </c>
      <c r="S35" s="80"/>
      <c r="T35" s="26">
        <f t="shared" si="2"/>
        <v>0</v>
      </c>
      <c r="U35" s="26"/>
      <c r="V35" s="26"/>
      <c r="W35" s="26">
        <f t="shared" si="3"/>
        <v>0</v>
      </c>
      <c r="X35" s="26"/>
      <c r="Y35" s="26"/>
      <c r="Z35" s="28">
        <f t="shared" si="4"/>
        <v>0</v>
      </c>
      <c r="AA35" s="31">
        <f t="shared" si="0"/>
        <v>0</v>
      </c>
      <c r="AB35" s="28">
        <f t="shared" si="0"/>
        <v>0</v>
      </c>
      <c r="AC35" s="5">
        <f t="shared" si="1"/>
        <v>476.56</v>
      </c>
      <c r="AE35" s="5">
        <f>K35-AC35</f>
        <v>0</v>
      </c>
      <c r="AG35" s="5">
        <f t="shared" si="5"/>
        <v>0</v>
      </c>
      <c r="AH35" s="9"/>
      <c r="AI35" s="5">
        <f t="shared" si="6"/>
        <v>-476.56</v>
      </c>
    </row>
    <row r="36" spans="1:35" ht="15.75">
      <c r="A36" s="134">
        <v>14</v>
      </c>
      <c r="B36" s="13" t="s">
        <v>162</v>
      </c>
      <c r="C36" s="106">
        <v>4110100</v>
      </c>
      <c r="D36" s="135" t="s">
        <v>12</v>
      </c>
      <c r="E36" s="13" t="s">
        <v>167</v>
      </c>
      <c r="F36" s="13">
        <v>876</v>
      </c>
      <c r="G36" s="13" t="s">
        <v>294</v>
      </c>
      <c r="H36" s="13">
        <v>1</v>
      </c>
      <c r="I36" s="144" t="s">
        <v>274</v>
      </c>
      <c r="J36" s="13" t="s">
        <v>161</v>
      </c>
      <c r="K36" s="145">
        <v>175.88</v>
      </c>
      <c r="L36" s="14" t="s">
        <v>258</v>
      </c>
      <c r="M36" s="14">
        <v>2012</v>
      </c>
      <c r="N36" s="13">
        <v>6</v>
      </c>
      <c r="O36" s="13"/>
      <c r="P36" s="71"/>
      <c r="Q36" s="71"/>
      <c r="R36" s="8" t="s">
        <v>6</v>
      </c>
      <c r="S36" s="31">
        <v>0.90737000000000001</v>
      </c>
      <c r="T36" s="23">
        <f t="shared" si="2"/>
        <v>0.90737000000000001</v>
      </c>
      <c r="U36" s="23">
        <v>0.90737000000000001</v>
      </c>
      <c r="V36" s="23"/>
      <c r="W36" s="23">
        <f t="shared" si="3"/>
        <v>1.4366699999999999</v>
      </c>
      <c r="X36" s="23">
        <v>1.4366699999999999</v>
      </c>
      <c r="Y36" s="23"/>
      <c r="Z36" s="28">
        <f t="shared" si="4"/>
        <v>0.52929999999999988</v>
      </c>
      <c r="AA36" s="31">
        <f t="shared" si="0"/>
        <v>0.52929999999999988</v>
      </c>
      <c r="AB36" s="28">
        <f t="shared" si="0"/>
        <v>0</v>
      </c>
      <c r="AC36" s="5">
        <f t="shared" si="1"/>
        <v>174.44333</v>
      </c>
      <c r="AE36" s="5"/>
      <c r="AG36" s="5">
        <f t="shared" si="5"/>
        <v>-0.52929999999999988</v>
      </c>
      <c r="AH36" s="9">
        <f>[1]TDSheet!$J$511+[1]TDSheet!$J$521+[1]TDSheet!$J$526+[1]TDSheet!$J$1506</f>
        <v>53.3</v>
      </c>
      <c r="AI36" s="5">
        <f>AH36-K36</f>
        <v>-122.58</v>
      </c>
    </row>
    <row r="37" spans="1:35" ht="15.75">
      <c r="A37" s="134">
        <v>15</v>
      </c>
      <c r="B37" s="13" t="s">
        <v>162</v>
      </c>
      <c r="C37" s="106">
        <v>4010000</v>
      </c>
      <c r="D37" s="135" t="s">
        <v>13</v>
      </c>
      <c r="E37" s="13" t="s">
        <v>167</v>
      </c>
      <c r="F37" s="13">
        <v>876</v>
      </c>
      <c r="G37" s="13" t="s">
        <v>294</v>
      </c>
      <c r="H37" s="13">
        <v>1</v>
      </c>
      <c r="I37" s="144" t="s">
        <v>274</v>
      </c>
      <c r="J37" s="13" t="s">
        <v>161</v>
      </c>
      <c r="K37" s="145">
        <v>728.96</v>
      </c>
      <c r="L37" s="14" t="s">
        <v>258</v>
      </c>
      <c r="M37" s="14">
        <v>2012</v>
      </c>
      <c r="N37" s="13">
        <v>6</v>
      </c>
      <c r="O37" s="13"/>
      <c r="P37" s="71"/>
      <c r="Q37" s="71"/>
      <c r="R37" s="8" t="s">
        <v>6</v>
      </c>
      <c r="S37" s="31">
        <v>76.024349999999998</v>
      </c>
      <c r="T37" s="23">
        <f t="shared" si="2"/>
        <v>47.820630000000001</v>
      </c>
      <c r="U37" s="23">
        <v>47.820630000000001</v>
      </c>
      <c r="V37" s="23"/>
      <c r="W37" s="23">
        <f t="shared" si="3"/>
        <v>102.87039</v>
      </c>
      <c r="X37" s="23">
        <v>102.87039</v>
      </c>
      <c r="Y37" s="23"/>
      <c r="Z37" s="28">
        <f t="shared" si="4"/>
        <v>55.049759999999999</v>
      </c>
      <c r="AA37" s="31">
        <f t="shared" si="0"/>
        <v>55.049759999999999</v>
      </c>
      <c r="AB37" s="28">
        <f t="shared" si="0"/>
        <v>0</v>
      </c>
      <c r="AC37" s="5">
        <f t="shared" si="1"/>
        <v>626.08960999999999</v>
      </c>
      <c r="AE37" s="5"/>
      <c r="AG37" s="5">
        <f t="shared" si="5"/>
        <v>-55.049759999999999</v>
      </c>
      <c r="AH37" s="9">
        <f>[1]TDSheet!$J$538+[1]TDSheet!$J$2764+[1]TDSheet!$J$3460</f>
        <v>479.72999999999996</v>
      </c>
      <c r="AI37" s="5">
        <f t="shared" si="6"/>
        <v>-249.23000000000008</v>
      </c>
    </row>
    <row r="38" spans="1:35" ht="15.75">
      <c r="A38" s="134">
        <v>16</v>
      </c>
      <c r="B38" s="13" t="s">
        <v>162</v>
      </c>
      <c r="C38" s="106">
        <v>4030020</v>
      </c>
      <c r="D38" s="135" t="s">
        <v>14</v>
      </c>
      <c r="E38" s="13" t="s">
        <v>167</v>
      </c>
      <c r="F38" s="13">
        <v>876</v>
      </c>
      <c r="G38" s="13" t="s">
        <v>294</v>
      </c>
      <c r="H38" s="13">
        <v>1</v>
      </c>
      <c r="I38" s="144" t="s">
        <v>274</v>
      </c>
      <c r="J38" s="13" t="s">
        <v>161</v>
      </c>
      <c r="K38" s="145">
        <f>675.35+900</f>
        <v>1575.35</v>
      </c>
      <c r="L38" s="14" t="s">
        <v>258</v>
      </c>
      <c r="M38" s="14">
        <v>2012</v>
      </c>
      <c r="N38" s="13">
        <v>6</v>
      </c>
      <c r="O38" s="13"/>
      <c r="P38" s="71"/>
      <c r="Q38" s="71"/>
      <c r="R38" s="8" t="s">
        <v>6</v>
      </c>
      <c r="S38" s="31">
        <v>319.79099000000002</v>
      </c>
      <c r="T38" s="23">
        <f t="shared" si="2"/>
        <v>294.64913000000001</v>
      </c>
      <c r="U38" s="23">
        <v>294.64913000000001</v>
      </c>
      <c r="V38" s="23"/>
      <c r="W38" s="23">
        <f t="shared" si="3"/>
        <v>414.95783999999998</v>
      </c>
      <c r="X38" s="23">
        <v>414.95783999999998</v>
      </c>
      <c r="Y38" s="23"/>
      <c r="Z38" s="28">
        <f t="shared" si="4"/>
        <v>120.30870999999996</v>
      </c>
      <c r="AA38" s="31">
        <f t="shared" si="0"/>
        <v>120.30870999999996</v>
      </c>
      <c r="AB38" s="28">
        <f t="shared" si="0"/>
        <v>0</v>
      </c>
      <c r="AC38" s="5">
        <f t="shared" si="1"/>
        <v>1160.3921599999999</v>
      </c>
      <c r="AE38" s="5"/>
      <c r="AG38" s="5">
        <f t="shared" si="5"/>
        <v>-120.30870999999996</v>
      </c>
      <c r="AH38" s="9">
        <f>[1]TDSheet!$J$531+[1]TDSheet!$J$1522</f>
        <v>1162.81</v>
      </c>
      <c r="AI38" s="5">
        <f t="shared" si="6"/>
        <v>-412.53999999999996</v>
      </c>
    </row>
    <row r="39" spans="1:35" ht="31.5">
      <c r="A39" s="134">
        <v>17</v>
      </c>
      <c r="B39" s="13" t="s">
        <v>162</v>
      </c>
      <c r="C39" s="106">
        <v>9010020</v>
      </c>
      <c r="D39" s="135" t="s">
        <v>26</v>
      </c>
      <c r="E39" s="13" t="s">
        <v>168</v>
      </c>
      <c r="F39" s="13">
        <v>876</v>
      </c>
      <c r="G39" s="13" t="s">
        <v>294</v>
      </c>
      <c r="H39" s="13">
        <v>1</v>
      </c>
      <c r="I39" s="144" t="s">
        <v>274</v>
      </c>
      <c r="J39" s="13" t="s">
        <v>161</v>
      </c>
      <c r="K39" s="145">
        <v>10</v>
      </c>
      <c r="L39" s="14" t="s">
        <v>258</v>
      </c>
      <c r="M39" s="14">
        <v>2012</v>
      </c>
      <c r="N39" s="13">
        <v>6</v>
      </c>
      <c r="O39" s="13"/>
      <c r="P39" s="71"/>
      <c r="Q39" s="71"/>
      <c r="R39" s="8" t="s">
        <v>6</v>
      </c>
      <c r="S39" s="31">
        <f>1.17</f>
        <v>1.17</v>
      </c>
      <c r="T39" s="23">
        <f t="shared" si="2"/>
        <v>0</v>
      </c>
      <c r="U39" s="23">
        <v>0</v>
      </c>
      <c r="V39" s="23"/>
      <c r="W39" s="23">
        <f t="shared" si="3"/>
        <v>1.17</v>
      </c>
      <c r="X39" s="23">
        <v>1.17</v>
      </c>
      <c r="Y39" s="23"/>
      <c r="Z39" s="28">
        <f t="shared" si="4"/>
        <v>1.17</v>
      </c>
      <c r="AA39" s="31">
        <f t="shared" si="0"/>
        <v>1.17</v>
      </c>
      <c r="AB39" s="28">
        <f t="shared" si="0"/>
        <v>0</v>
      </c>
      <c r="AC39" s="5">
        <f t="shared" si="1"/>
        <v>8.83</v>
      </c>
      <c r="AE39" s="5"/>
      <c r="AG39" s="5">
        <f t="shared" si="5"/>
        <v>-1.17</v>
      </c>
      <c r="AH39" s="9">
        <f>[1]TDSheet!$J$2768</f>
        <v>4.5</v>
      </c>
      <c r="AI39" s="5">
        <f t="shared" si="6"/>
        <v>-5.5</v>
      </c>
    </row>
    <row r="40" spans="1:35" ht="15.75">
      <c r="A40" s="134">
        <v>18</v>
      </c>
      <c r="B40" s="13" t="s">
        <v>162</v>
      </c>
      <c r="C40" s="106">
        <v>7522020</v>
      </c>
      <c r="D40" s="135" t="s">
        <v>27</v>
      </c>
      <c r="E40" s="13" t="s">
        <v>167</v>
      </c>
      <c r="F40" s="13">
        <v>876</v>
      </c>
      <c r="G40" s="13" t="s">
        <v>294</v>
      </c>
      <c r="H40" s="13">
        <v>1</v>
      </c>
      <c r="I40" s="144" t="s">
        <v>274</v>
      </c>
      <c r="J40" s="13" t="s">
        <v>161</v>
      </c>
      <c r="K40" s="145">
        <v>0</v>
      </c>
      <c r="L40" s="14" t="s">
        <v>258</v>
      </c>
      <c r="M40" s="14">
        <v>2012</v>
      </c>
      <c r="N40" s="13">
        <v>6</v>
      </c>
      <c r="O40" s="13"/>
      <c r="P40" s="71"/>
      <c r="Q40" s="71"/>
      <c r="R40" s="8" t="s">
        <v>4</v>
      </c>
      <c r="S40" s="31"/>
      <c r="T40" s="23">
        <f t="shared" si="2"/>
        <v>0</v>
      </c>
      <c r="U40" s="23"/>
      <c r="V40" s="23"/>
      <c r="W40" s="23">
        <f t="shared" si="3"/>
        <v>0</v>
      </c>
      <c r="X40" s="23"/>
      <c r="Y40" s="23"/>
      <c r="Z40" s="28">
        <f t="shared" si="4"/>
        <v>0</v>
      </c>
      <c r="AA40" s="31">
        <f t="shared" si="0"/>
        <v>0</v>
      </c>
      <c r="AB40" s="28">
        <f t="shared" si="0"/>
        <v>0</v>
      </c>
      <c r="AC40" s="5">
        <f t="shared" si="1"/>
        <v>0</v>
      </c>
      <c r="AE40" s="5">
        <f>K40-AC40</f>
        <v>0</v>
      </c>
      <c r="AG40" s="5">
        <f t="shared" si="5"/>
        <v>0</v>
      </c>
      <c r="AH40" s="9"/>
      <c r="AI40" s="5">
        <f t="shared" si="6"/>
        <v>0</v>
      </c>
    </row>
    <row r="41" spans="1:35" ht="31.5">
      <c r="A41" s="134">
        <v>19</v>
      </c>
      <c r="B41" s="13" t="s">
        <v>162</v>
      </c>
      <c r="C41" s="146">
        <v>9311000</v>
      </c>
      <c r="D41" s="135" t="s">
        <v>28</v>
      </c>
      <c r="E41" s="13" t="s">
        <v>169</v>
      </c>
      <c r="F41" s="13">
        <v>876</v>
      </c>
      <c r="G41" s="13" t="s">
        <v>294</v>
      </c>
      <c r="H41" s="13">
        <v>1</v>
      </c>
      <c r="I41" s="144" t="s">
        <v>274</v>
      </c>
      <c r="J41" s="13" t="s">
        <v>161</v>
      </c>
      <c r="K41" s="145">
        <v>0</v>
      </c>
      <c r="L41" s="14" t="s">
        <v>258</v>
      </c>
      <c r="M41" s="14">
        <v>2012</v>
      </c>
      <c r="N41" s="13">
        <v>6</v>
      </c>
      <c r="O41" s="13"/>
      <c r="P41" s="71"/>
      <c r="Q41" s="71"/>
      <c r="R41" s="8" t="s">
        <v>4</v>
      </c>
      <c r="S41" s="31"/>
      <c r="T41" s="23">
        <f t="shared" si="2"/>
        <v>0</v>
      </c>
      <c r="U41" s="23"/>
      <c r="V41" s="23"/>
      <c r="W41" s="23">
        <f t="shared" si="3"/>
        <v>0</v>
      </c>
      <c r="X41" s="23"/>
      <c r="Y41" s="23"/>
      <c r="Z41" s="28">
        <f t="shared" si="4"/>
        <v>0</v>
      </c>
      <c r="AA41" s="31">
        <f t="shared" si="0"/>
        <v>0</v>
      </c>
      <c r="AB41" s="28">
        <f t="shared" si="0"/>
        <v>0</v>
      </c>
      <c r="AC41" s="5">
        <f t="shared" si="1"/>
        <v>0</v>
      </c>
      <c r="AE41" s="5">
        <f>K41-AC41</f>
        <v>0</v>
      </c>
      <c r="AG41" s="5">
        <f t="shared" si="5"/>
        <v>0</v>
      </c>
      <c r="AH41" s="9"/>
      <c r="AI41" s="5">
        <f t="shared" si="6"/>
        <v>0</v>
      </c>
    </row>
    <row r="42" spans="1:35" ht="31.5">
      <c r="A42" s="134">
        <v>20</v>
      </c>
      <c r="B42" s="13" t="s">
        <v>162</v>
      </c>
      <c r="C42" s="106">
        <v>2423920</v>
      </c>
      <c r="D42" s="135" t="s">
        <v>29</v>
      </c>
      <c r="E42" s="13" t="s">
        <v>169</v>
      </c>
      <c r="F42" s="13">
        <v>876</v>
      </c>
      <c r="G42" s="13" t="s">
        <v>294</v>
      </c>
      <c r="H42" s="13">
        <v>1</v>
      </c>
      <c r="I42" s="144" t="s">
        <v>274</v>
      </c>
      <c r="J42" s="13" t="s">
        <v>161</v>
      </c>
      <c r="K42" s="145">
        <v>10</v>
      </c>
      <c r="L42" s="14" t="s">
        <v>258</v>
      </c>
      <c r="M42" s="14">
        <v>2012</v>
      </c>
      <c r="N42" s="13">
        <v>6</v>
      </c>
      <c r="O42" s="13"/>
      <c r="P42" s="71"/>
      <c r="Q42" s="71"/>
      <c r="R42" s="8" t="s">
        <v>4</v>
      </c>
      <c r="S42" s="31"/>
      <c r="T42" s="23">
        <f t="shared" si="2"/>
        <v>0</v>
      </c>
      <c r="U42" s="23"/>
      <c r="V42" s="23"/>
      <c r="W42" s="23">
        <f t="shared" si="3"/>
        <v>0</v>
      </c>
      <c r="X42" s="23"/>
      <c r="Y42" s="23"/>
      <c r="Z42" s="28">
        <f t="shared" si="4"/>
        <v>0</v>
      </c>
      <c r="AA42" s="31">
        <f t="shared" si="0"/>
        <v>0</v>
      </c>
      <c r="AB42" s="28">
        <f t="shared" si="0"/>
        <v>0</v>
      </c>
      <c r="AC42" s="5">
        <f t="shared" si="1"/>
        <v>10</v>
      </c>
      <c r="AE42" s="5">
        <f>K42-AC42</f>
        <v>0</v>
      </c>
      <c r="AG42" s="5">
        <f t="shared" si="5"/>
        <v>0</v>
      </c>
      <c r="AH42" s="9">
        <f>[1]TDSheet!$J$519</f>
        <v>5.09</v>
      </c>
      <c r="AI42" s="5">
        <f t="shared" si="6"/>
        <v>-4.91</v>
      </c>
    </row>
    <row r="43" spans="1:35" ht="31.5">
      <c r="A43" s="134">
        <v>21</v>
      </c>
      <c r="B43" s="13" t="s">
        <v>162</v>
      </c>
      <c r="C43" s="146">
        <v>7250010</v>
      </c>
      <c r="D43" s="135" t="s">
        <v>77</v>
      </c>
      <c r="E43" s="13" t="s">
        <v>169</v>
      </c>
      <c r="F43" s="13">
        <v>876</v>
      </c>
      <c r="G43" s="13" t="s">
        <v>294</v>
      </c>
      <c r="H43" s="13">
        <v>1</v>
      </c>
      <c r="I43" s="144" t="s">
        <v>274</v>
      </c>
      <c r="J43" s="13" t="s">
        <v>161</v>
      </c>
      <c r="K43" s="145">
        <v>140</v>
      </c>
      <c r="L43" s="14" t="s">
        <v>258</v>
      </c>
      <c r="M43" s="14">
        <v>2012</v>
      </c>
      <c r="N43" s="13">
        <v>6</v>
      </c>
      <c r="O43" s="13"/>
      <c r="P43" s="71"/>
      <c r="Q43" s="71"/>
      <c r="R43" s="8" t="s">
        <v>4</v>
      </c>
      <c r="S43" s="31">
        <v>10</v>
      </c>
      <c r="T43" s="23">
        <f t="shared" si="2"/>
        <v>0</v>
      </c>
      <c r="U43" s="23">
        <v>0</v>
      </c>
      <c r="V43" s="23"/>
      <c r="W43" s="23">
        <f t="shared" si="3"/>
        <v>1.7</v>
      </c>
      <c r="X43" s="23">
        <v>1.7</v>
      </c>
      <c r="Y43" s="23"/>
      <c r="Z43" s="28">
        <f t="shared" si="4"/>
        <v>1.7</v>
      </c>
      <c r="AA43" s="31">
        <f t="shared" si="0"/>
        <v>1.7</v>
      </c>
      <c r="AB43" s="28">
        <f t="shared" si="0"/>
        <v>0</v>
      </c>
      <c r="AC43" s="5">
        <f t="shared" si="1"/>
        <v>138.30000000000001</v>
      </c>
      <c r="AE43" s="5"/>
      <c r="AG43" s="5">
        <f t="shared" si="5"/>
        <v>-1.7</v>
      </c>
      <c r="AH43" s="9">
        <f>[1]TDSheet!$J$2830</f>
        <v>46.32</v>
      </c>
      <c r="AI43" s="5">
        <f t="shared" si="6"/>
        <v>-93.68</v>
      </c>
    </row>
    <row r="44" spans="1:35" ht="15.75">
      <c r="A44" s="134">
        <v>22</v>
      </c>
      <c r="B44" s="13" t="s">
        <v>162</v>
      </c>
      <c r="C44" s="106">
        <v>5020020</v>
      </c>
      <c r="D44" s="135" t="s">
        <v>30</v>
      </c>
      <c r="E44" s="147" t="s">
        <v>170</v>
      </c>
      <c r="F44" s="147">
        <v>876</v>
      </c>
      <c r="G44" s="13" t="s">
        <v>294</v>
      </c>
      <c r="H44" s="13">
        <v>1</v>
      </c>
      <c r="I44" s="144" t="s">
        <v>274</v>
      </c>
      <c r="J44" s="13" t="s">
        <v>161</v>
      </c>
      <c r="K44" s="145">
        <f>4553.73*0.2</f>
        <v>910.74599999999998</v>
      </c>
      <c r="L44" s="14" t="s">
        <v>258</v>
      </c>
      <c r="M44" s="14">
        <v>2012</v>
      </c>
      <c r="N44" s="13">
        <v>6</v>
      </c>
      <c r="O44" s="13"/>
      <c r="P44" s="71"/>
      <c r="Q44" s="71"/>
      <c r="R44" s="8" t="s">
        <v>4</v>
      </c>
      <c r="S44" s="31">
        <v>97.667000000000002</v>
      </c>
      <c r="T44" s="23">
        <f t="shared" si="2"/>
        <v>100.654</v>
      </c>
      <c r="U44" s="23">
        <v>93.188000000000002</v>
      </c>
      <c r="V44" s="23">
        <v>7.4660000000000002</v>
      </c>
      <c r="W44" s="23">
        <f t="shared" si="3"/>
        <v>144.602</v>
      </c>
      <c r="X44" s="23">
        <v>99.384</v>
      </c>
      <c r="Y44" s="23">
        <v>45.218000000000004</v>
      </c>
      <c r="Z44" s="28">
        <f t="shared" si="4"/>
        <v>43.948</v>
      </c>
      <c r="AA44" s="31">
        <f t="shared" si="0"/>
        <v>6.195999999999998</v>
      </c>
      <c r="AB44" s="28">
        <f t="shared" si="0"/>
        <v>37.752000000000002</v>
      </c>
      <c r="AC44" s="5">
        <f t="shared" si="1"/>
        <v>811.36199999999997</v>
      </c>
      <c r="AE44" s="5"/>
      <c r="AG44" s="5">
        <f t="shared" si="5"/>
        <v>-6.195999999999998</v>
      </c>
      <c r="AH44" s="9">
        <f>[1]TDSheet!$J$2762+[1]TDSheet!$J$2860</f>
        <v>328.46</v>
      </c>
      <c r="AI44" s="5">
        <f t="shared" si="6"/>
        <v>-582.28600000000006</v>
      </c>
    </row>
    <row r="45" spans="1:35" ht="15.75">
      <c r="A45" s="134">
        <v>23</v>
      </c>
      <c r="B45" s="13" t="s">
        <v>162</v>
      </c>
      <c r="C45" s="106">
        <v>5020020</v>
      </c>
      <c r="D45" s="135" t="s">
        <v>78</v>
      </c>
      <c r="E45" s="147" t="s">
        <v>170</v>
      </c>
      <c r="F45" s="147">
        <v>876</v>
      </c>
      <c r="G45" s="13" t="s">
        <v>294</v>
      </c>
      <c r="H45" s="13">
        <v>1</v>
      </c>
      <c r="I45" s="144" t="s">
        <v>274</v>
      </c>
      <c r="J45" s="13" t="s">
        <v>161</v>
      </c>
      <c r="K45" s="145">
        <f>4553.73*0.3</f>
        <v>1366.1189999999999</v>
      </c>
      <c r="L45" s="14" t="s">
        <v>258</v>
      </c>
      <c r="M45" s="14">
        <v>2012</v>
      </c>
      <c r="N45" s="13">
        <v>6</v>
      </c>
      <c r="O45" s="13"/>
      <c r="P45" s="71"/>
      <c r="Q45" s="71"/>
      <c r="R45" s="8" t="s">
        <v>31</v>
      </c>
      <c r="S45" s="31"/>
      <c r="T45" s="23">
        <f t="shared" si="2"/>
        <v>0</v>
      </c>
      <c r="U45" s="23"/>
      <c r="V45" s="23"/>
      <c r="W45" s="23">
        <f t="shared" si="3"/>
        <v>0</v>
      </c>
      <c r="X45" s="23"/>
      <c r="Y45" s="23"/>
      <c r="Z45" s="28">
        <f t="shared" si="4"/>
        <v>0</v>
      </c>
      <c r="AA45" s="31">
        <f t="shared" si="0"/>
        <v>0</v>
      </c>
      <c r="AB45" s="28">
        <f t="shared" si="0"/>
        <v>0</v>
      </c>
      <c r="AC45" s="5">
        <f t="shared" si="1"/>
        <v>1366.1189999999999</v>
      </c>
      <c r="AE45" s="5">
        <f>K45-AC45</f>
        <v>0</v>
      </c>
      <c r="AG45" s="5">
        <f t="shared" si="5"/>
        <v>0</v>
      </c>
      <c r="AH45" s="9"/>
      <c r="AI45" s="5">
        <f t="shared" si="6"/>
        <v>-1366.1189999999999</v>
      </c>
    </row>
    <row r="46" spans="1:35" ht="31.5">
      <c r="A46" s="134">
        <v>24</v>
      </c>
      <c r="B46" s="13" t="s">
        <v>162</v>
      </c>
      <c r="C46" s="146">
        <v>5020020</v>
      </c>
      <c r="D46" s="135" t="s">
        <v>32</v>
      </c>
      <c r="E46" s="13" t="s">
        <v>171</v>
      </c>
      <c r="F46" s="13">
        <v>876</v>
      </c>
      <c r="G46" s="13" t="s">
        <v>294</v>
      </c>
      <c r="H46" s="13">
        <v>1</v>
      </c>
      <c r="I46" s="144" t="s">
        <v>274</v>
      </c>
      <c r="J46" s="13" t="s">
        <v>161</v>
      </c>
      <c r="K46" s="145">
        <f>4553.73*0.2</f>
        <v>910.74599999999998</v>
      </c>
      <c r="L46" s="14" t="s">
        <v>258</v>
      </c>
      <c r="M46" s="14">
        <v>2012</v>
      </c>
      <c r="N46" s="13">
        <v>6</v>
      </c>
      <c r="O46" s="13"/>
      <c r="P46" s="71"/>
      <c r="Q46" s="71"/>
      <c r="R46" s="8" t="s">
        <v>4</v>
      </c>
      <c r="S46" s="31">
        <v>97.237849999999995</v>
      </c>
      <c r="T46" s="23">
        <f t="shared" si="2"/>
        <v>73.469200000000001</v>
      </c>
      <c r="U46" s="23">
        <v>73.469200000000001</v>
      </c>
      <c r="V46" s="23"/>
      <c r="W46" s="23">
        <f t="shared" si="3"/>
        <v>381.91223000000002</v>
      </c>
      <c r="X46" s="23">
        <v>381.91223000000002</v>
      </c>
      <c r="Y46" s="23"/>
      <c r="Z46" s="28">
        <f t="shared" si="4"/>
        <v>308.44303000000002</v>
      </c>
      <c r="AA46" s="31">
        <f t="shared" si="0"/>
        <v>308.44303000000002</v>
      </c>
      <c r="AB46" s="28">
        <f t="shared" si="0"/>
        <v>0</v>
      </c>
      <c r="AC46" s="5">
        <f t="shared" si="1"/>
        <v>528.83376999999996</v>
      </c>
      <c r="AE46" s="5"/>
      <c r="AG46" s="5">
        <f t="shared" si="5"/>
        <v>-308.44303000000002</v>
      </c>
      <c r="AH46" s="9">
        <f>[1]TDSheet!$J$2734+[1]TDSheet!$J$2806</f>
        <v>746.78</v>
      </c>
      <c r="AI46" s="5">
        <f t="shared" si="6"/>
        <v>-163.96600000000001</v>
      </c>
    </row>
    <row r="47" spans="1:35" ht="31.5">
      <c r="A47" s="134">
        <v>25</v>
      </c>
      <c r="B47" s="13" t="s">
        <v>162</v>
      </c>
      <c r="C47" s="146">
        <v>9438000</v>
      </c>
      <c r="D47" s="135" t="s">
        <v>33</v>
      </c>
      <c r="E47" s="13" t="s">
        <v>171</v>
      </c>
      <c r="F47" s="13">
        <v>876</v>
      </c>
      <c r="G47" s="13" t="s">
        <v>294</v>
      </c>
      <c r="H47" s="13">
        <v>1</v>
      </c>
      <c r="I47" s="144" t="s">
        <v>274</v>
      </c>
      <c r="J47" s="13" t="s">
        <v>161</v>
      </c>
      <c r="K47" s="145">
        <f>4553.73*0.3</f>
        <v>1366.1189999999999</v>
      </c>
      <c r="L47" s="14" t="s">
        <v>258</v>
      </c>
      <c r="M47" s="14">
        <v>2012</v>
      </c>
      <c r="N47" s="13">
        <v>6</v>
      </c>
      <c r="O47" s="13"/>
      <c r="P47" s="71"/>
      <c r="Q47" s="71"/>
      <c r="R47" s="8" t="s">
        <v>4</v>
      </c>
      <c r="S47" s="31"/>
      <c r="T47" s="23">
        <f t="shared" si="2"/>
        <v>0</v>
      </c>
      <c r="U47" s="23"/>
      <c r="V47" s="23"/>
      <c r="W47" s="23">
        <f t="shared" si="3"/>
        <v>0</v>
      </c>
      <c r="X47" s="23"/>
      <c r="Y47" s="23"/>
      <c r="Z47" s="28">
        <f t="shared" si="4"/>
        <v>0</v>
      </c>
      <c r="AA47" s="31">
        <f t="shared" si="0"/>
        <v>0</v>
      </c>
      <c r="AB47" s="28">
        <f t="shared" si="0"/>
        <v>0</v>
      </c>
      <c r="AC47" s="5">
        <f t="shared" si="1"/>
        <v>1366.1189999999999</v>
      </c>
      <c r="AE47" s="5">
        <f t="shared" ref="AE47:AE54" si="7">K47-AC47</f>
        <v>0</v>
      </c>
      <c r="AG47" s="5">
        <f t="shared" si="5"/>
        <v>0</v>
      </c>
      <c r="AH47" s="9"/>
      <c r="AI47" s="5">
        <f t="shared" si="6"/>
        <v>-1366.1189999999999</v>
      </c>
    </row>
    <row r="48" spans="1:35" ht="31.5">
      <c r="A48" s="134">
        <v>26</v>
      </c>
      <c r="B48" s="13" t="s">
        <v>162</v>
      </c>
      <c r="C48" s="106">
        <v>4540020</v>
      </c>
      <c r="D48" s="135" t="s">
        <v>34</v>
      </c>
      <c r="E48" s="13" t="s">
        <v>171</v>
      </c>
      <c r="F48" s="13">
        <v>876</v>
      </c>
      <c r="G48" s="13" t="s">
        <v>294</v>
      </c>
      <c r="H48" s="13">
        <v>1</v>
      </c>
      <c r="I48" s="144" t="s">
        <v>274</v>
      </c>
      <c r="J48" s="13" t="s">
        <v>161</v>
      </c>
      <c r="K48" s="145">
        <v>2200</v>
      </c>
      <c r="L48" s="14" t="s">
        <v>258</v>
      </c>
      <c r="M48" s="14">
        <v>2012</v>
      </c>
      <c r="N48" s="13">
        <v>3</v>
      </c>
      <c r="O48" s="13"/>
      <c r="P48" s="71"/>
      <c r="Q48" s="71"/>
      <c r="R48" s="8" t="s">
        <v>4</v>
      </c>
      <c r="S48" s="31"/>
      <c r="T48" s="23">
        <f t="shared" si="2"/>
        <v>0</v>
      </c>
      <c r="U48" s="23"/>
      <c r="V48" s="23"/>
      <c r="W48" s="23">
        <f t="shared" si="3"/>
        <v>0</v>
      </c>
      <c r="X48" s="23"/>
      <c r="Y48" s="23"/>
      <c r="Z48" s="28">
        <f t="shared" si="4"/>
        <v>0</v>
      </c>
      <c r="AA48" s="31">
        <f t="shared" si="0"/>
        <v>0</v>
      </c>
      <c r="AB48" s="28">
        <f t="shared" si="0"/>
        <v>0</v>
      </c>
      <c r="AC48" s="5">
        <f t="shared" si="1"/>
        <v>2200</v>
      </c>
      <c r="AE48" s="5">
        <f t="shared" si="7"/>
        <v>0</v>
      </c>
      <c r="AG48" s="5">
        <f t="shared" si="5"/>
        <v>0</v>
      </c>
      <c r="AH48" s="9">
        <f>[1]TDSheet!$J$2838+[1]TDSheet!$J$2841</f>
        <v>280.97000000000003</v>
      </c>
      <c r="AI48" s="5">
        <f t="shared" si="6"/>
        <v>-1919.03</v>
      </c>
    </row>
    <row r="49" spans="1:35" ht="31.5">
      <c r="A49" s="134">
        <v>27</v>
      </c>
      <c r="B49" s="13" t="s">
        <v>162</v>
      </c>
      <c r="C49" s="146">
        <v>5000000</v>
      </c>
      <c r="D49" s="135" t="s">
        <v>9</v>
      </c>
      <c r="E49" s="13" t="s">
        <v>169</v>
      </c>
      <c r="F49" s="13">
        <v>876</v>
      </c>
      <c r="G49" s="13" t="s">
        <v>294</v>
      </c>
      <c r="H49" s="13">
        <v>1</v>
      </c>
      <c r="I49" s="144" t="s">
        <v>274</v>
      </c>
      <c r="J49" s="13" t="s">
        <v>161</v>
      </c>
      <c r="K49" s="145">
        <v>10</v>
      </c>
      <c r="L49" s="14" t="s">
        <v>258</v>
      </c>
      <c r="M49" s="14">
        <v>2012</v>
      </c>
      <c r="N49" s="13">
        <v>6</v>
      </c>
      <c r="O49" s="13"/>
      <c r="P49" s="71"/>
      <c r="Q49" s="71"/>
      <c r="R49" s="8" t="s">
        <v>4</v>
      </c>
      <c r="S49" s="31"/>
      <c r="T49" s="23">
        <f t="shared" si="2"/>
        <v>0</v>
      </c>
      <c r="U49" s="23"/>
      <c r="V49" s="23"/>
      <c r="W49" s="23">
        <f t="shared" si="3"/>
        <v>0</v>
      </c>
      <c r="X49" s="23"/>
      <c r="Y49" s="23"/>
      <c r="Z49" s="28">
        <f t="shared" si="4"/>
        <v>0</v>
      </c>
      <c r="AA49" s="31">
        <f t="shared" si="0"/>
        <v>0</v>
      </c>
      <c r="AB49" s="28">
        <f t="shared" si="0"/>
        <v>0</v>
      </c>
      <c r="AC49" s="5">
        <f t="shared" si="1"/>
        <v>10</v>
      </c>
      <c r="AE49" s="5">
        <f t="shared" si="7"/>
        <v>0</v>
      </c>
      <c r="AG49" s="5">
        <f t="shared" si="5"/>
        <v>0</v>
      </c>
      <c r="AH49" s="9"/>
      <c r="AI49" s="5">
        <f t="shared" si="6"/>
        <v>-10</v>
      </c>
    </row>
    <row r="50" spans="1:35" ht="31.5">
      <c r="A50" s="134">
        <v>28</v>
      </c>
      <c r="B50" s="13" t="s">
        <v>162</v>
      </c>
      <c r="C50" s="146">
        <v>5000000</v>
      </c>
      <c r="D50" s="135" t="s">
        <v>71</v>
      </c>
      <c r="E50" s="13" t="s">
        <v>169</v>
      </c>
      <c r="F50" s="13">
        <v>876</v>
      </c>
      <c r="G50" s="13" t="s">
        <v>294</v>
      </c>
      <c r="H50" s="13">
        <v>1</v>
      </c>
      <c r="I50" s="144" t="s">
        <v>274</v>
      </c>
      <c r="J50" s="13" t="s">
        <v>161</v>
      </c>
      <c r="K50" s="145">
        <v>20</v>
      </c>
      <c r="L50" s="14" t="s">
        <v>258</v>
      </c>
      <c r="M50" s="14">
        <v>2012</v>
      </c>
      <c r="N50" s="13">
        <v>6</v>
      </c>
      <c r="O50" s="13"/>
      <c r="P50" s="71"/>
      <c r="Q50" s="71"/>
      <c r="R50" s="8" t="s">
        <v>4</v>
      </c>
      <c r="S50" s="31"/>
      <c r="T50" s="23">
        <f t="shared" si="2"/>
        <v>0</v>
      </c>
      <c r="U50" s="23"/>
      <c r="V50" s="23"/>
      <c r="W50" s="23">
        <f t="shared" si="3"/>
        <v>0</v>
      </c>
      <c r="X50" s="23"/>
      <c r="Y50" s="23"/>
      <c r="Z50" s="28">
        <f t="shared" si="4"/>
        <v>0</v>
      </c>
      <c r="AA50" s="31">
        <f t="shared" si="0"/>
        <v>0</v>
      </c>
      <c r="AB50" s="28">
        <f t="shared" si="0"/>
        <v>0</v>
      </c>
      <c r="AC50" s="5">
        <f t="shared" si="1"/>
        <v>20</v>
      </c>
      <c r="AE50" s="5">
        <f t="shared" si="7"/>
        <v>0</v>
      </c>
      <c r="AG50" s="5">
        <f t="shared" si="5"/>
        <v>0</v>
      </c>
      <c r="AH50" s="9"/>
      <c r="AI50" s="5">
        <f t="shared" si="6"/>
        <v>-20</v>
      </c>
    </row>
    <row r="51" spans="1:35" ht="31.5">
      <c r="A51" s="134">
        <v>29</v>
      </c>
      <c r="B51" s="13" t="s">
        <v>162</v>
      </c>
      <c r="C51" s="146">
        <v>5000000</v>
      </c>
      <c r="D51" s="135" t="s">
        <v>84</v>
      </c>
      <c r="E51" s="13" t="s">
        <v>169</v>
      </c>
      <c r="F51" s="13">
        <v>876</v>
      </c>
      <c r="G51" s="13" t="s">
        <v>294</v>
      </c>
      <c r="H51" s="13">
        <v>1</v>
      </c>
      <c r="I51" s="144" t="s">
        <v>274</v>
      </c>
      <c r="J51" s="13" t="s">
        <v>161</v>
      </c>
      <c r="K51" s="145">
        <v>30</v>
      </c>
      <c r="L51" s="14" t="s">
        <v>258</v>
      </c>
      <c r="M51" s="14">
        <v>2012</v>
      </c>
      <c r="N51" s="13">
        <v>6</v>
      </c>
      <c r="O51" s="13"/>
      <c r="P51" s="71"/>
      <c r="Q51" s="71"/>
      <c r="R51" s="8" t="s">
        <v>4</v>
      </c>
      <c r="S51" s="31"/>
      <c r="T51" s="23">
        <f t="shared" si="2"/>
        <v>0</v>
      </c>
      <c r="U51" s="23"/>
      <c r="V51" s="23"/>
      <c r="W51" s="23">
        <f t="shared" si="3"/>
        <v>0</v>
      </c>
      <c r="X51" s="23"/>
      <c r="Y51" s="23"/>
      <c r="Z51" s="28">
        <f t="shared" si="4"/>
        <v>0</v>
      </c>
      <c r="AA51" s="31">
        <f t="shared" si="0"/>
        <v>0</v>
      </c>
      <c r="AB51" s="28">
        <f t="shared" si="0"/>
        <v>0</v>
      </c>
      <c r="AC51" s="5">
        <f t="shared" si="1"/>
        <v>30</v>
      </c>
      <c r="AE51" s="5">
        <f t="shared" si="7"/>
        <v>0</v>
      </c>
      <c r="AG51" s="5">
        <f t="shared" si="5"/>
        <v>0</v>
      </c>
      <c r="AH51" s="9"/>
      <c r="AI51" s="5">
        <f t="shared" si="6"/>
        <v>-30</v>
      </c>
    </row>
    <row r="52" spans="1:35" ht="31.5">
      <c r="A52" s="134">
        <v>30</v>
      </c>
      <c r="B52" s="13" t="s">
        <v>162</v>
      </c>
      <c r="C52" s="146">
        <v>5000000</v>
      </c>
      <c r="D52" s="135" t="s">
        <v>35</v>
      </c>
      <c r="E52" s="13" t="s">
        <v>169</v>
      </c>
      <c r="F52" s="13">
        <v>876</v>
      </c>
      <c r="G52" s="13" t="s">
        <v>294</v>
      </c>
      <c r="H52" s="13">
        <v>1</v>
      </c>
      <c r="I52" s="144" t="s">
        <v>274</v>
      </c>
      <c r="J52" s="13" t="s">
        <v>161</v>
      </c>
      <c r="K52" s="145">
        <v>10</v>
      </c>
      <c r="L52" s="14" t="s">
        <v>258</v>
      </c>
      <c r="M52" s="14">
        <v>2012</v>
      </c>
      <c r="N52" s="13">
        <v>6</v>
      </c>
      <c r="O52" s="13"/>
      <c r="P52" s="71"/>
      <c r="Q52" s="71"/>
      <c r="R52" s="8" t="s">
        <v>4</v>
      </c>
      <c r="S52" s="31"/>
      <c r="T52" s="23">
        <f t="shared" si="2"/>
        <v>0</v>
      </c>
      <c r="U52" s="23"/>
      <c r="V52" s="23"/>
      <c r="W52" s="23">
        <f t="shared" si="3"/>
        <v>0</v>
      </c>
      <c r="X52" s="23"/>
      <c r="Y52" s="23"/>
      <c r="Z52" s="28">
        <f t="shared" si="4"/>
        <v>0</v>
      </c>
      <c r="AA52" s="31">
        <f t="shared" si="0"/>
        <v>0</v>
      </c>
      <c r="AB52" s="28">
        <f t="shared" si="0"/>
        <v>0</v>
      </c>
      <c r="AC52" s="5">
        <f t="shared" si="1"/>
        <v>10</v>
      </c>
      <c r="AE52" s="5">
        <f t="shared" si="7"/>
        <v>0</v>
      </c>
      <c r="AG52" s="5">
        <f t="shared" si="5"/>
        <v>0</v>
      </c>
      <c r="AH52" s="9"/>
      <c r="AI52" s="5">
        <f t="shared" si="6"/>
        <v>-10</v>
      </c>
    </row>
    <row r="53" spans="1:35" ht="31.5">
      <c r="A53" s="134">
        <v>31</v>
      </c>
      <c r="B53" s="13" t="s">
        <v>162</v>
      </c>
      <c r="C53" s="106">
        <v>5020020</v>
      </c>
      <c r="D53" s="135" t="s">
        <v>36</v>
      </c>
      <c r="E53" s="13" t="s">
        <v>169</v>
      </c>
      <c r="F53" s="13">
        <v>876</v>
      </c>
      <c r="G53" s="13" t="s">
        <v>294</v>
      </c>
      <c r="H53" s="13">
        <v>1</v>
      </c>
      <c r="I53" s="144" t="s">
        <v>274</v>
      </c>
      <c r="J53" s="13" t="s">
        <v>161</v>
      </c>
      <c r="K53" s="145">
        <f>(550*120*2)/1000</f>
        <v>132</v>
      </c>
      <c r="L53" s="14" t="s">
        <v>258</v>
      </c>
      <c r="M53" s="14">
        <v>2012</v>
      </c>
      <c r="N53" s="13">
        <v>6</v>
      </c>
      <c r="O53" s="13"/>
      <c r="P53" s="71"/>
      <c r="Q53" s="71"/>
      <c r="R53" s="8" t="s">
        <v>4</v>
      </c>
      <c r="S53" s="31"/>
      <c r="T53" s="23">
        <f t="shared" si="2"/>
        <v>0</v>
      </c>
      <c r="U53" s="23"/>
      <c r="V53" s="23"/>
      <c r="W53" s="23">
        <f t="shared" si="3"/>
        <v>0</v>
      </c>
      <c r="X53" s="23"/>
      <c r="Y53" s="23"/>
      <c r="Z53" s="28">
        <f t="shared" si="4"/>
        <v>0</v>
      </c>
      <c r="AA53" s="31">
        <f t="shared" si="0"/>
        <v>0</v>
      </c>
      <c r="AB53" s="28">
        <f t="shared" si="0"/>
        <v>0</v>
      </c>
      <c r="AC53" s="5">
        <f t="shared" si="1"/>
        <v>132</v>
      </c>
      <c r="AE53" s="5">
        <f t="shared" si="7"/>
        <v>0</v>
      </c>
      <c r="AG53" s="5">
        <f t="shared" si="5"/>
        <v>0</v>
      </c>
      <c r="AH53" s="9"/>
      <c r="AI53" s="5">
        <f t="shared" si="6"/>
        <v>-132</v>
      </c>
    </row>
    <row r="54" spans="1:35" ht="31.5">
      <c r="A54" s="134">
        <v>32</v>
      </c>
      <c r="B54" s="13" t="s">
        <v>162</v>
      </c>
      <c r="C54" s="146">
        <v>5235020</v>
      </c>
      <c r="D54" s="135" t="s">
        <v>37</v>
      </c>
      <c r="E54" s="13" t="s">
        <v>169</v>
      </c>
      <c r="F54" s="13">
        <v>876</v>
      </c>
      <c r="G54" s="13" t="s">
        <v>294</v>
      </c>
      <c r="H54" s="13">
        <v>1</v>
      </c>
      <c r="I54" s="144" t="s">
        <v>274</v>
      </c>
      <c r="J54" s="13" t="s">
        <v>161</v>
      </c>
      <c r="K54" s="145">
        <v>10</v>
      </c>
      <c r="L54" s="14" t="s">
        <v>258</v>
      </c>
      <c r="M54" s="14">
        <v>2012</v>
      </c>
      <c r="N54" s="13">
        <v>6</v>
      </c>
      <c r="O54" s="13"/>
      <c r="P54" s="71"/>
      <c r="Q54" s="71"/>
      <c r="R54" s="8" t="s">
        <v>4</v>
      </c>
      <c r="S54" s="31"/>
      <c r="T54" s="23">
        <f t="shared" si="2"/>
        <v>0</v>
      </c>
      <c r="U54" s="23"/>
      <c r="V54" s="23"/>
      <c r="W54" s="23">
        <f t="shared" si="3"/>
        <v>0</v>
      </c>
      <c r="X54" s="23"/>
      <c r="Y54" s="23"/>
      <c r="Z54" s="28">
        <f t="shared" si="4"/>
        <v>0</v>
      </c>
      <c r="AA54" s="31">
        <f t="shared" si="0"/>
        <v>0</v>
      </c>
      <c r="AB54" s="28">
        <f t="shared" si="0"/>
        <v>0</v>
      </c>
      <c r="AC54" s="5">
        <f t="shared" si="1"/>
        <v>10</v>
      </c>
      <c r="AE54" s="5">
        <f t="shared" si="7"/>
        <v>0</v>
      </c>
      <c r="AG54" s="5">
        <f t="shared" si="5"/>
        <v>0</v>
      </c>
      <c r="AH54" s="9"/>
      <c r="AI54" s="5">
        <f t="shared" si="6"/>
        <v>-10</v>
      </c>
    </row>
    <row r="55" spans="1:35" ht="15.75">
      <c r="A55" s="134">
        <v>33</v>
      </c>
      <c r="B55" s="13" t="s">
        <v>162</v>
      </c>
      <c r="C55" s="106">
        <v>8040000</v>
      </c>
      <c r="D55" s="135" t="s">
        <v>172</v>
      </c>
      <c r="E55" s="13"/>
      <c r="F55" s="13">
        <v>876</v>
      </c>
      <c r="G55" s="13" t="s">
        <v>294</v>
      </c>
      <c r="H55" s="13">
        <v>1</v>
      </c>
      <c r="I55" s="144" t="s">
        <v>274</v>
      </c>
      <c r="J55" s="13" t="s">
        <v>161</v>
      </c>
      <c r="K55" s="145">
        <v>13900</v>
      </c>
      <c r="L55" s="14" t="s">
        <v>258</v>
      </c>
      <c r="M55" s="14">
        <v>2012</v>
      </c>
      <c r="N55" s="13">
        <v>6</v>
      </c>
      <c r="O55" s="13"/>
      <c r="P55" s="71"/>
      <c r="Q55" s="71"/>
      <c r="R55" s="8" t="s">
        <v>4</v>
      </c>
      <c r="S55" s="31"/>
      <c r="T55" s="23">
        <f t="shared" si="2"/>
        <v>153.28</v>
      </c>
      <c r="U55" s="23">
        <v>153.28</v>
      </c>
      <c r="V55" s="23"/>
      <c r="W55" s="23">
        <f t="shared" si="3"/>
        <v>3482.6170000000002</v>
      </c>
      <c r="X55" s="23">
        <f>3482.617</f>
        <v>3482.6170000000002</v>
      </c>
      <c r="Y55" s="23"/>
      <c r="Z55" s="28">
        <f t="shared" si="4"/>
        <v>3329.337</v>
      </c>
      <c r="AA55" s="31">
        <f t="shared" ref="AA55:AB86" si="8">X55-U55</f>
        <v>3329.337</v>
      </c>
      <c r="AB55" s="28">
        <f t="shared" si="8"/>
        <v>0</v>
      </c>
      <c r="AC55" s="5">
        <f t="shared" ref="AC55:AC86" si="9">K55-X55</f>
        <v>10417.383</v>
      </c>
      <c r="AE55" s="5"/>
      <c r="AG55" s="5">
        <f t="shared" si="5"/>
        <v>-3329.337</v>
      </c>
      <c r="AH55" s="9">
        <f>[1]TDSheet!$J$2218</f>
        <v>8195.66</v>
      </c>
      <c r="AI55" s="5">
        <f t="shared" si="6"/>
        <v>-5704.34</v>
      </c>
    </row>
    <row r="56" spans="1:35" ht="15.75">
      <c r="A56" s="134">
        <v>34</v>
      </c>
      <c r="B56" s="13" t="s">
        <v>162</v>
      </c>
      <c r="C56" s="106">
        <v>7423000</v>
      </c>
      <c r="D56" s="158" t="s">
        <v>7</v>
      </c>
      <c r="E56" s="13" t="s">
        <v>173</v>
      </c>
      <c r="F56" s="13">
        <v>876</v>
      </c>
      <c r="G56" s="13" t="s">
        <v>294</v>
      </c>
      <c r="H56" s="13">
        <v>1</v>
      </c>
      <c r="I56" s="144" t="s">
        <v>274</v>
      </c>
      <c r="J56" s="13" t="s">
        <v>161</v>
      </c>
      <c r="K56" s="145">
        <f>60*1.2</f>
        <v>72</v>
      </c>
      <c r="L56" s="14" t="s">
        <v>258</v>
      </c>
      <c r="M56" s="14">
        <v>2012</v>
      </c>
      <c r="N56" s="13">
        <v>3</v>
      </c>
      <c r="O56" s="13"/>
      <c r="P56" s="71"/>
      <c r="Q56" s="71"/>
      <c r="R56" s="8" t="s">
        <v>4</v>
      </c>
      <c r="S56" s="31"/>
      <c r="T56" s="23">
        <f t="shared" si="2"/>
        <v>0</v>
      </c>
      <c r="U56" s="23"/>
      <c r="V56" s="23"/>
      <c r="W56" s="23">
        <f t="shared" si="3"/>
        <v>0</v>
      </c>
      <c r="X56" s="23"/>
      <c r="Y56" s="23"/>
      <c r="Z56" s="28">
        <f t="shared" si="4"/>
        <v>0</v>
      </c>
      <c r="AA56" s="31">
        <f t="shared" si="8"/>
        <v>0</v>
      </c>
      <c r="AB56" s="28">
        <f t="shared" si="8"/>
        <v>0</v>
      </c>
      <c r="AC56" s="5">
        <f t="shared" si="9"/>
        <v>72</v>
      </c>
      <c r="AE56" s="5">
        <f>K56-AC56</f>
        <v>0</v>
      </c>
      <c r="AG56" s="5">
        <f t="shared" si="5"/>
        <v>0</v>
      </c>
      <c r="AH56" s="9"/>
      <c r="AI56" s="5">
        <f t="shared" si="6"/>
        <v>-72</v>
      </c>
    </row>
    <row r="57" spans="1:35" ht="31.5">
      <c r="A57" s="134">
        <v>35</v>
      </c>
      <c r="B57" s="13" t="s">
        <v>162</v>
      </c>
      <c r="C57" s="106">
        <v>7210000</v>
      </c>
      <c r="D57" s="158" t="s">
        <v>72</v>
      </c>
      <c r="E57" s="13" t="s">
        <v>174</v>
      </c>
      <c r="F57" s="13">
        <v>876</v>
      </c>
      <c r="G57" s="13" t="s">
        <v>294</v>
      </c>
      <c r="H57" s="13">
        <v>1</v>
      </c>
      <c r="I57" s="144" t="s">
        <v>274</v>
      </c>
      <c r="J57" s="13" t="s">
        <v>161</v>
      </c>
      <c r="K57" s="145">
        <v>200</v>
      </c>
      <c r="L57" s="14" t="s">
        <v>258</v>
      </c>
      <c r="M57" s="14">
        <v>2012</v>
      </c>
      <c r="N57" s="13">
        <v>6</v>
      </c>
      <c r="O57" s="13"/>
      <c r="P57" s="71"/>
      <c r="Q57" s="71"/>
      <c r="R57" s="8" t="s">
        <v>4</v>
      </c>
      <c r="S57" s="31"/>
      <c r="T57" s="23">
        <f t="shared" si="2"/>
        <v>0</v>
      </c>
      <c r="U57" s="23"/>
      <c r="V57" s="23"/>
      <c r="W57" s="23">
        <f t="shared" si="3"/>
        <v>0</v>
      </c>
      <c r="X57" s="23"/>
      <c r="Y57" s="23"/>
      <c r="Z57" s="28">
        <f t="shared" si="4"/>
        <v>0</v>
      </c>
      <c r="AA57" s="31">
        <f t="shared" si="8"/>
        <v>0</v>
      </c>
      <c r="AB57" s="28">
        <f t="shared" si="8"/>
        <v>0</v>
      </c>
      <c r="AC57" s="5">
        <f t="shared" si="9"/>
        <v>200</v>
      </c>
      <c r="AE57" s="5">
        <f>K57-AC57</f>
        <v>0</v>
      </c>
      <c r="AG57" s="5">
        <f t="shared" si="5"/>
        <v>0</v>
      </c>
      <c r="AH57" s="9"/>
      <c r="AI57" s="5">
        <f t="shared" si="6"/>
        <v>-200</v>
      </c>
    </row>
    <row r="58" spans="1:35" ht="21.75" customHeight="1">
      <c r="A58" s="134">
        <v>36</v>
      </c>
      <c r="B58" s="13" t="s">
        <v>162</v>
      </c>
      <c r="C58" s="146">
        <v>6011010</v>
      </c>
      <c r="D58" s="158" t="s">
        <v>38</v>
      </c>
      <c r="E58" s="13"/>
      <c r="F58" s="13">
        <v>876</v>
      </c>
      <c r="G58" s="13" t="s">
        <v>294</v>
      </c>
      <c r="H58" s="13">
        <v>1</v>
      </c>
      <c r="I58" s="144" t="s">
        <v>274</v>
      </c>
      <c r="J58" s="13" t="s">
        <v>161</v>
      </c>
      <c r="K58" s="145">
        <v>1976</v>
      </c>
      <c r="L58" s="14" t="s">
        <v>258</v>
      </c>
      <c r="M58" s="14">
        <v>2012</v>
      </c>
      <c r="N58" s="13">
        <v>6</v>
      </c>
      <c r="O58" s="13"/>
      <c r="P58" s="71"/>
      <c r="Q58" s="71"/>
      <c r="R58" s="8" t="s">
        <v>4</v>
      </c>
      <c r="S58" s="31">
        <v>546.08249999999998</v>
      </c>
      <c r="T58" s="23">
        <f t="shared" si="2"/>
        <v>709.12220000000002</v>
      </c>
      <c r="U58" s="23">
        <v>517.4</v>
      </c>
      <c r="V58" s="23">
        <v>191.72219999999999</v>
      </c>
      <c r="W58" s="23">
        <f t="shared" si="3"/>
        <v>847.32669999999996</v>
      </c>
      <c r="X58" s="23">
        <v>592.79999999999995</v>
      </c>
      <c r="Y58" s="23">
        <v>254.52670000000001</v>
      </c>
      <c r="Z58" s="28">
        <f t="shared" si="4"/>
        <v>138.2045</v>
      </c>
      <c r="AA58" s="31">
        <f t="shared" si="8"/>
        <v>75.399999999999977</v>
      </c>
      <c r="AB58" s="28">
        <f t="shared" si="8"/>
        <v>62.804500000000019</v>
      </c>
      <c r="AC58" s="5">
        <f t="shared" si="9"/>
        <v>1383.2</v>
      </c>
      <c r="AE58" s="5"/>
      <c r="AG58" s="5">
        <f t="shared" si="5"/>
        <v>-75.399999999999977</v>
      </c>
      <c r="AH58" s="9"/>
      <c r="AI58" s="5">
        <f t="shared" si="6"/>
        <v>-1976</v>
      </c>
    </row>
    <row r="59" spans="1:35" ht="21" customHeight="1">
      <c r="A59" s="134">
        <v>37</v>
      </c>
      <c r="B59" s="13" t="s">
        <v>162</v>
      </c>
      <c r="C59" s="106">
        <v>5510000</v>
      </c>
      <c r="D59" s="158" t="s">
        <v>39</v>
      </c>
      <c r="E59" s="13"/>
      <c r="F59" s="13">
        <v>876</v>
      </c>
      <c r="G59" s="13" t="s">
        <v>294</v>
      </c>
      <c r="H59" s="13">
        <v>1</v>
      </c>
      <c r="I59" s="144" t="s">
        <v>274</v>
      </c>
      <c r="J59" s="13" t="s">
        <v>161</v>
      </c>
      <c r="K59" s="145">
        <f>2120+1150</f>
        <v>3270</v>
      </c>
      <c r="L59" s="14" t="s">
        <v>258</v>
      </c>
      <c r="M59" s="14">
        <v>2012</v>
      </c>
      <c r="N59" s="13">
        <v>6</v>
      </c>
      <c r="O59" s="13"/>
      <c r="P59" s="71"/>
      <c r="Q59" s="71"/>
      <c r="R59" s="8" t="s">
        <v>4</v>
      </c>
      <c r="S59" s="31">
        <v>590.78599999999994</v>
      </c>
      <c r="T59" s="23">
        <f t="shared" si="2"/>
        <v>569.46</v>
      </c>
      <c r="U59" s="23">
        <f>502.7+0</f>
        <v>502.7</v>
      </c>
      <c r="V59" s="23">
        <v>66.760000000000005</v>
      </c>
      <c r="W59" s="23">
        <f t="shared" si="3"/>
        <v>913.67099999999994</v>
      </c>
      <c r="X59" s="23">
        <f>707.788+33.473</f>
        <v>741.26099999999997</v>
      </c>
      <c r="Y59" s="23">
        <v>172.41</v>
      </c>
      <c r="Z59" s="28">
        <f t="shared" si="4"/>
        <v>344.21099999999996</v>
      </c>
      <c r="AA59" s="31">
        <f t="shared" si="8"/>
        <v>238.56099999999998</v>
      </c>
      <c r="AB59" s="28">
        <f t="shared" si="8"/>
        <v>105.64999999999999</v>
      </c>
      <c r="AC59" s="5">
        <f t="shared" si="9"/>
        <v>2528.739</v>
      </c>
      <c r="AE59" s="5"/>
      <c r="AG59" s="5">
        <f t="shared" si="5"/>
        <v>-238.56099999999998</v>
      </c>
      <c r="AH59" s="9">
        <f>[1]TDSheet!$J$2242+[1]TDSheet!$J$2422</f>
        <v>2735.8999999999996</v>
      </c>
      <c r="AI59" s="5">
        <f t="shared" si="6"/>
        <v>-534.10000000000036</v>
      </c>
    </row>
    <row r="60" spans="1:35" ht="48" customHeight="1">
      <c r="A60" s="134">
        <v>38</v>
      </c>
      <c r="B60" s="13" t="s">
        <v>162</v>
      </c>
      <c r="C60" s="146">
        <v>7523060</v>
      </c>
      <c r="D60" s="158" t="s">
        <v>40</v>
      </c>
      <c r="E60" s="13"/>
      <c r="F60" s="13">
        <v>876</v>
      </c>
      <c r="G60" s="13" t="s">
        <v>294</v>
      </c>
      <c r="H60" s="13">
        <v>1</v>
      </c>
      <c r="I60" s="144" t="s">
        <v>274</v>
      </c>
      <c r="J60" s="13" t="s">
        <v>161</v>
      </c>
      <c r="K60" s="145">
        <f>6847.88-2000</f>
        <v>4847.88</v>
      </c>
      <c r="L60" s="14" t="s">
        <v>258</v>
      </c>
      <c r="M60" s="14">
        <v>2012</v>
      </c>
      <c r="N60" s="13">
        <v>6</v>
      </c>
      <c r="O60" s="13"/>
      <c r="P60" s="71"/>
      <c r="Q60" s="71"/>
      <c r="R60" s="8" t="s">
        <v>4</v>
      </c>
      <c r="S60" s="31"/>
      <c r="T60" s="23">
        <f t="shared" si="2"/>
        <v>0</v>
      </c>
      <c r="U60" s="23"/>
      <c r="V60" s="23"/>
      <c r="W60" s="23">
        <f t="shared" si="3"/>
        <v>0</v>
      </c>
      <c r="X60" s="23"/>
      <c r="Y60" s="23"/>
      <c r="Z60" s="28">
        <f t="shared" si="4"/>
        <v>0</v>
      </c>
      <c r="AA60" s="31">
        <f t="shared" si="8"/>
        <v>0</v>
      </c>
      <c r="AB60" s="28">
        <f t="shared" si="8"/>
        <v>0</v>
      </c>
      <c r="AC60" s="5">
        <f t="shared" si="9"/>
        <v>4847.88</v>
      </c>
      <c r="AE60" s="5">
        <f>K60-AC60</f>
        <v>0</v>
      </c>
      <c r="AG60" s="5">
        <f t="shared" si="5"/>
        <v>0</v>
      </c>
      <c r="AH60" s="9"/>
      <c r="AI60" s="5">
        <f t="shared" si="6"/>
        <v>-4847.88</v>
      </c>
    </row>
    <row r="61" spans="1:35" ht="15.75">
      <c r="A61" s="134">
        <v>39</v>
      </c>
      <c r="B61" s="13" t="s">
        <v>162</v>
      </c>
      <c r="C61" s="106">
        <v>9231020</v>
      </c>
      <c r="D61" s="158" t="s">
        <v>8</v>
      </c>
      <c r="E61" s="148"/>
      <c r="F61" s="148">
        <v>876</v>
      </c>
      <c r="G61" s="13" t="s">
        <v>294</v>
      </c>
      <c r="H61" s="13">
        <v>1</v>
      </c>
      <c r="I61" s="144" t="s">
        <v>274</v>
      </c>
      <c r="J61" s="148" t="s">
        <v>161</v>
      </c>
      <c r="K61" s="145">
        <f>5000*100/1000</f>
        <v>500</v>
      </c>
      <c r="L61" s="136" t="s">
        <v>258</v>
      </c>
      <c r="M61" s="136">
        <v>2012</v>
      </c>
      <c r="N61" s="13">
        <v>6</v>
      </c>
      <c r="O61" s="13"/>
      <c r="P61" s="71"/>
      <c r="Q61" s="71"/>
      <c r="R61" s="8" t="s">
        <v>4</v>
      </c>
      <c r="S61" s="31"/>
      <c r="T61" s="23">
        <f t="shared" si="2"/>
        <v>0</v>
      </c>
      <c r="U61" s="23"/>
      <c r="V61" s="23"/>
      <c r="W61" s="23">
        <f t="shared" si="3"/>
        <v>0</v>
      </c>
      <c r="X61" s="23"/>
      <c r="Y61" s="23"/>
      <c r="Z61" s="28">
        <f t="shared" si="4"/>
        <v>0</v>
      </c>
      <c r="AA61" s="31">
        <f t="shared" si="8"/>
        <v>0</v>
      </c>
      <c r="AB61" s="28">
        <f t="shared" si="8"/>
        <v>0</v>
      </c>
      <c r="AC61" s="5">
        <f t="shared" si="9"/>
        <v>500</v>
      </c>
      <c r="AE61" s="5">
        <f>K61-AC61</f>
        <v>0</v>
      </c>
      <c r="AG61" s="5">
        <f t="shared" si="5"/>
        <v>0</v>
      </c>
      <c r="AH61" s="9"/>
      <c r="AI61" s="5">
        <f t="shared" si="6"/>
        <v>-500</v>
      </c>
    </row>
    <row r="62" spans="1:35" ht="47.25">
      <c r="A62" s="134">
        <v>40</v>
      </c>
      <c r="B62" s="13" t="s">
        <v>162</v>
      </c>
      <c r="C62" s="106">
        <v>7260016</v>
      </c>
      <c r="D62" s="158" t="s">
        <v>85</v>
      </c>
      <c r="E62" s="13" t="s">
        <v>179</v>
      </c>
      <c r="F62" s="13">
        <v>876</v>
      </c>
      <c r="G62" s="13" t="s">
        <v>294</v>
      </c>
      <c r="H62" s="13">
        <v>1</v>
      </c>
      <c r="I62" s="144" t="s">
        <v>274</v>
      </c>
      <c r="J62" s="13" t="s">
        <v>161</v>
      </c>
      <c r="K62" s="145">
        <f>938.09*0.5</f>
        <v>469.04500000000002</v>
      </c>
      <c r="L62" s="13" t="s">
        <v>258</v>
      </c>
      <c r="M62" s="13">
        <v>2012</v>
      </c>
      <c r="N62" s="13">
        <v>6</v>
      </c>
      <c r="O62" s="13"/>
      <c r="P62" s="71"/>
      <c r="Q62" s="71"/>
      <c r="R62" s="8" t="s">
        <v>6</v>
      </c>
      <c r="S62" s="31">
        <f>152.741</f>
        <v>152.74100000000001</v>
      </c>
      <c r="T62" s="23">
        <f t="shared" si="2"/>
        <v>165.20099999999999</v>
      </c>
      <c r="U62" s="23">
        <v>165.20099999999999</v>
      </c>
      <c r="V62" s="23"/>
      <c r="W62" s="23">
        <f t="shared" si="3"/>
        <v>233.381</v>
      </c>
      <c r="X62" s="23">
        <v>233.381</v>
      </c>
      <c r="Y62" s="23"/>
      <c r="Z62" s="28">
        <f t="shared" si="4"/>
        <v>68.180000000000007</v>
      </c>
      <c r="AA62" s="31">
        <f t="shared" si="8"/>
        <v>68.180000000000007</v>
      </c>
      <c r="AB62" s="28">
        <f t="shared" si="8"/>
        <v>0</v>
      </c>
      <c r="AC62" s="5">
        <f t="shared" si="9"/>
        <v>235.66400000000002</v>
      </c>
      <c r="AE62" s="5"/>
      <c r="AG62" s="5">
        <f t="shared" si="5"/>
        <v>-68.180000000000007</v>
      </c>
      <c r="AH62" s="9"/>
      <c r="AI62" s="5">
        <f t="shared" si="6"/>
        <v>-469.04500000000002</v>
      </c>
    </row>
    <row r="63" spans="1:35" ht="47.25">
      <c r="A63" s="134">
        <v>41</v>
      </c>
      <c r="B63" s="13" t="s">
        <v>162</v>
      </c>
      <c r="C63" s="106">
        <v>7260000</v>
      </c>
      <c r="D63" s="158" t="s">
        <v>86</v>
      </c>
      <c r="E63" s="13" t="s">
        <v>179</v>
      </c>
      <c r="F63" s="13">
        <v>876</v>
      </c>
      <c r="G63" s="13" t="s">
        <v>294</v>
      </c>
      <c r="H63" s="13">
        <v>1</v>
      </c>
      <c r="I63" s="144" t="s">
        <v>274</v>
      </c>
      <c r="J63" s="13" t="s">
        <v>161</v>
      </c>
      <c r="K63" s="145">
        <f>938.09*0.5</f>
        <v>469.04500000000002</v>
      </c>
      <c r="L63" s="13" t="s">
        <v>258</v>
      </c>
      <c r="M63" s="13">
        <v>2012</v>
      </c>
      <c r="N63" s="13">
        <v>6</v>
      </c>
      <c r="O63" s="13"/>
      <c r="P63" s="71"/>
      <c r="Q63" s="71"/>
      <c r="R63" s="8" t="s">
        <v>6</v>
      </c>
      <c r="S63" s="80">
        <f>1+18</f>
        <v>19</v>
      </c>
      <c r="T63" s="26">
        <f t="shared" si="2"/>
        <v>0</v>
      </c>
      <c r="U63" s="26"/>
      <c r="V63" s="26"/>
      <c r="W63" s="26">
        <f t="shared" si="3"/>
        <v>0</v>
      </c>
      <c r="X63" s="26"/>
      <c r="Y63" s="26"/>
      <c r="Z63" s="28">
        <f t="shared" si="4"/>
        <v>0</v>
      </c>
      <c r="AA63" s="31">
        <f t="shared" si="8"/>
        <v>0</v>
      </c>
      <c r="AB63" s="28">
        <f t="shared" si="8"/>
        <v>0</v>
      </c>
      <c r="AC63" s="5">
        <f t="shared" si="9"/>
        <v>469.04500000000002</v>
      </c>
      <c r="AE63" s="5">
        <f>K63-AC63</f>
        <v>0</v>
      </c>
      <c r="AG63" s="5">
        <f t="shared" si="5"/>
        <v>0</v>
      </c>
      <c r="AH63" s="9"/>
      <c r="AI63" s="5">
        <f t="shared" si="6"/>
        <v>-469.04500000000002</v>
      </c>
    </row>
    <row r="64" spans="1:35" ht="15.75">
      <c r="A64" s="134">
        <v>42</v>
      </c>
      <c r="B64" s="13" t="s">
        <v>162</v>
      </c>
      <c r="C64" s="106">
        <v>9311010</v>
      </c>
      <c r="D64" s="158" t="s">
        <v>41</v>
      </c>
      <c r="E64" s="13" t="s">
        <v>180</v>
      </c>
      <c r="F64" s="13">
        <v>876</v>
      </c>
      <c r="G64" s="13" t="s">
        <v>294</v>
      </c>
      <c r="H64" s="13">
        <v>1</v>
      </c>
      <c r="I64" s="144" t="s">
        <v>274</v>
      </c>
      <c r="J64" s="13" t="s">
        <v>161</v>
      </c>
      <c r="K64" s="145">
        <v>32.450000000000003</v>
      </c>
      <c r="L64" s="14" t="s">
        <v>258</v>
      </c>
      <c r="M64" s="14">
        <v>2012</v>
      </c>
      <c r="N64" s="13">
        <v>6</v>
      </c>
      <c r="O64" s="13"/>
      <c r="P64" s="71"/>
      <c r="Q64" s="71"/>
      <c r="R64" s="8" t="s">
        <v>4</v>
      </c>
      <c r="S64" s="31">
        <v>0</v>
      </c>
      <c r="T64" s="23">
        <f t="shared" si="2"/>
        <v>0</v>
      </c>
      <c r="U64" s="23">
        <v>0</v>
      </c>
      <c r="V64" s="23"/>
      <c r="W64" s="23">
        <f t="shared" si="3"/>
        <v>1.302</v>
      </c>
      <c r="X64" s="23">
        <v>1.302</v>
      </c>
      <c r="Y64" s="23"/>
      <c r="Z64" s="28">
        <f t="shared" si="4"/>
        <v>1.302</v>
      </c>
      <c r="AA64" s="31">
        <f t="shared" si="8"/>
        <v>1.302</v>
      </c>
      <c r="AB64" s="28">
        <f t="shared" si="8"/>
        <v>0</v>
      </c>
      <c r="AC64" s="5">
        <f t="shared" si="9"/>
        <v>31.148000000000003</v>
      </c>
      <c r="AE64" s="5"/>
      <c r="AG64" s="5">
        <f t="shared" si="5"/>
        <v>-1.302</v>
      </c>
      <c r="AH64" s="9"/>
      <c r="AI64" s="5">
        <f t="shared" si="6"/>
        <v>-32.450000000000003</v>
      </c>
    </row>
    <row r="65" spans="1:35" ht="15.75">
      <c r="A65" s="134">
        <v>43</v>
      </c>
      <c r="B65" s="13" t="s">
        <v>162</v>
      </c>
      <c r="C65" s="106">
        <v>3720000</v>
      </c>
      <c r="D65" s="158" t="s">
        <v>17</v>
      </c>
      <c r="E65" s="13"/>
      <c r="F65" s="13">
        <v>876</v>
      </c>
      <c r="G65" s="13" t="s">
        <v>294</v>
      </c>
      <c r="H65" s="13">
        <v>1</v>
      </c>
      <c r="I65" s="144" t="s">
        <v>274</v>
      </c>
      <c r="J65" s="13" t="s">
        <v>161</v>
      </c>
      <c r="K65" s="145">
        <v>7</v>
      </c>
      <c r="L65" s="14" t="s">
        <v>258</v>
      </c>
      <c r="M65" s="14">
        <v>2012</v>
      </c>
      <c r="N65" s="13">
        <v>6</v>
      </c>
      <c r="O65" s="13"/>
      <c r="P65" s="71"/>
      <c r="Q65" s="71"/>
      <c r="R65" s="8" t="s">
        <v>4</v>
      </c>
      <c r="S65" s="31"/>
      <c r="T65" s="23">
        <f t="shared" si="2"/>
        <v>0</v>
      </c>
      <c r="U65" s="23"/>
      <c r="V65" s="23"/>
      <c r="W65" s="23">
        <f t="shared" si="3"/>
        <v>0</v>
      </c>
      <c r="X65" s="23"/>
      <c r="Y65" s="23"/>
      <c r="Z65" s="28">
        <f t="shared" si="4"/>
        <v>0</v>
      </c>
      <c r="AA65" s="31">
        <f t="shared" si="8"/>
        <v>0</v>
      </c>
      <c r="AB65" s="28">
        <f t="shared" si="8"/>
        <v>0</v>
      </c>
      <c r="AC65" s="5">
        <f t="shared" si="9"/>
        <v>7</v>
      </c>
      <c r="AE65" s="5">
        <f t="shared" ref="AE65:AE72" si="10">K65-AC65</f>
        <v>0</v>
      </c>
      <c r="AG65" s="5">
        <f t="shared" si="5"/>
        <v>0</v>
      </c>
      <c r="AH65" s="9"/>
      <c r="AI65" s="5">
        <f t="shared" si="6"/>
        <v>-7</v>
      </c>
    </row>
    <row r="66" spans="1:35" ht="15.75">
      <c r="A66" s="134">
        <v>44</v>
      </c>
      <c r="B66" s="13" t="s">
        <v>162</v>
      </c>
      <c r="C66" s="106">
        <v>5262020</v>
      </c>
      <c r="D66" s="158" t="s">
        <v>42</v>
      </c>
      <c r="E66" s="13"/>
      <c r="F66" s="13">
        <v>876</v>
      </c>
      <c r="G66" s="13" t="s">
        <v>294</v>
      </c>
      <c r="H66" s="13">
        <v>1</v>
      </c>
      <c r="I66" s="144" t="s">
        <v>274</v>
      </c>
      <c r="J66" s="13" t="s">
        <v>161</v>
      </c>
      <c r="K66" s="145">
        <v>60</v>
      </c>
      <c r="L66" s="13" t="s">
        <v>258</v>
      </c>
      <c r="M66" s="13">
        <v>2012</v>
      </c>
      <c r="N66" s="13">
        <v>6</v>
      </c>
      <c r="O66" s="13"/>
      <c r="P66" s="71"/>
      <c r="Q66" s="71"/>
      <c r="R66" s="8" t="s">
        <v>4</v>
      </c>
      <c r="S66" s="31"/>
      <c r="T66" s="23">
        <f t="shared" si="2"/>
        <v>0</v>
      </c>
      <c r="U66" s="23"/>
      <c r="V66" s="23"/>
      <c r="W66" s="23">
        <f t="shared" si="3"/>
        <v>0</v>
      </c>
      <c r="X66" s="23"/>
      <c r="Y66" s="23"/>
      <c r="Z66" s="28">
        <f t="shared" si="4"/>
        <v>0</v>
      </c>
      <c r="AA66" s="31">
        <f t="shared" si="8"/>
        <v>0</v>
      </c>
      <c r="AB66" s="28">
        <f t="shared" si="8"/>
        <v>0</v>
      </c>
      <c r="AC66" s="5">
        <f t="shared" si="9"/>
        <v>60</v>
      </c>
      <c r="AE66" s="5">
        <f t="shared" si="10"/>
        <v>0</v>
      </c>
      <c r="AG66" s="5">
        <f t="shared" si="5"/>
        <v>0</v>
      </c>
      <c r="AH66" s="9"/>
      <c r="AI66" s="5">
        <f t="shared" si="6"/>
        <v>-60</v>
      </c>
    </row>
    <row r="67" spans="1:35" ht="15.75">
      <c r="A67" s="201">
        <v>45</v>
      </c>
      <c r="B67" s="13" t="s">
        <v>162</v>
      </c>
      <c r="C67" s="106" t="s">
        <v>291</v>
      </c>
      <c r="D67" s="135" t="s">
        <v>292</v>
      </c>
      <c r="E67" s="13"/>
      <c r="F67" s="13">
        <v>876</v>
      </c>
      <c r="G67" s="13" t="s">
        <v>294</v>
      </c>
      <c r="H67" s="13">
        <v>1</v>
      </c>
      <c r="I67" s="144" t="s">
        <v>274</v>
      </c>
      <c r="J67" s="13" t="s">
        <v>161</v>
      </c>
      <c r="K67" s="145">
        <f>K68+K69+K70+K71+K72+K73+K74+K75</f>
        <v>1132.8200000000002</v>
      </c>
      <c r="L67" s="14" t="s">
        <v>258</v>
      </c>
      <c r="M67" s="14">
        <v>2012</v>
      </c>
      <c r="N67" s="203">
        <v>6</v>
      </c>
      <c r="O67" s="13"/>
      <c r="P67" s="71"/>
      <c r="Q67" s="71"/>
      <c r="R67" s="202" t="s">
        <v>4</v>
      </c>
      <c r="S67" s="81">
        <v>3.7282199999999999</v>
      </c>
      <c r="T67" s="9">
        <f t="shared" si="2"/>
        <v>0</v>
      </c>
      <c r="U67" s="9"/>
      <c r="V67" s="9"/>
      <c r="W67" s="9">
        <f t="shared" si="3"/>
        <v>0</v>
      </c>
      <c r="X67" s="9"/>
      <c r="Y67" s="9"/>
      <c r="Z67" s="28">
        <f t="shared" si="4"/>
        <v>0</v>
      </c>
      <c r="AA67" s="31">
        <f t="shared" si="8"/>
        <v>0</v>
      </c>
      <c r="AB67" s="28">
        <f t="shared" si="8"/>
        <v>0</v>
      </c>
      <c r="AC67" s="5">
        <f t="shared" si="9"/>
        <v>1132.8200000000002</v>
      </c>
      <c r="AE67" s="5">
        <f t="shared" si="10"/>
        <v>0</v>
      </c>
      <c r="AG67" s="5">
        <f t="shared" si="5"/>
        <v>0</v>
      </c>
      <c r="AH67" s="9">
        <f>AH68+AH69+AH70+AH71+AH72+AH73+AH74+AH75</f>
        <v>0</v>
      </c>
      <c r="AI67" s="5">
        <f t="shared" si="6"/>
        <v>-1132.8200000000002</v>
      </c>
    </row>
    <row r="68" spans="1:35" ht="47.25">
      <c r="A68" s="201"/>
      <c r="B68" s="13" t="s">
        <v>162</v>
      </c>
      <c r="C68" s="106">
        <v>242400</v>
      </c>
      <c r="D68" s="135" t="s">
        <v>43</v>
      </c>
      <c r="E68" s="13" t="s">
        <v>181</v>
      </c>
      <c r="F68" s="13">
        <v>876</v>
      </c>
      <c r="G68" s="13" t="s">
        <v>294</v>
      </c>
      <c r="H68" s="13">
        <v>1</v>
      </c>
      <c r="I68" s="144" t="s">
        <v>274</v>
      </c>
      <c r="J68" s="13" t="s">
        <v>161</v>
      </c>
      <c r="K68" s="145">
        <v>70</v>
      </c>
      <c r="L68" s="14" t="s">
        <v>258</v>
      </c>
      <c r="M68" s="14">
        <v>2012</v>
      </c>
      <c r="N68" s="203"/>
      <c r="O68" s="13"/>
      <c r="P68" s="71"/>
      <c r="Q68" s="71"/>
      <c r="R68" s="202"/>
      <c r="S68" s="31"/>
      <c r="T68" s="23">
        <f t="shared" si="2"/>
        <v>0</v>
      </c>
      <c r="U68" s="23"/>
      <c r="V68" s="23"/>
      <c r="W68" s="23">
        <f t="shared" si="3"/>
        <v>0</v>
      </c>
      <c r="X68" s="23"/>
      <c r="Y68" s="23"/>
      <c r="Z68" s="28">
        <f t="shared" si="4"/>
        <v>0</v>
      </c>
      <c r="AA68" s="31">
        <f t="shared" si="8"/>
        <v>0</v>
      </c>
      <c r="AB68" s="28">
        <f t="shared" si="8"/>
        <v>0</v>
      </c>
      <c r="AC68" s="5">
        <f t="shared" si="9"/>
        <v>70</v>
      </c>
      <c r="AE68" s="5">
        <f t="shared" si="10"/>
        <v>0</v>
      </c>
      <c r="AG68" s="5">
        <f t="shared" si="5"/>
        <v>0</v>
      </c>
      <c r="AH68" s="9"/>
      <c r="AI68" s="5">
        <f t="shared" si="6"/>
        <v>-70</v>
      </c>
    </row>
    <row r="69" spans="1:35" ht="31.5">
      <c r="A69" s="201"/>
      <c r="B69" s="13" t="s">
        <v>162</v>
      </c>
      <c r="C69" s="106">
        <v>2109369</v>
      </c>
      <c r="D69" s="135" t="s">
        <v>44</v>
      </c>
      <c r="E69" s="13" t="s">
        <v>182</v>
      </c>
      <c r="F69" s="13">
        <v>876</v>
      </c>
      <c r="G69" s="13" t="s">
        <v>294</v>
      </c>
      <c r="H69" s="13">
        <v>1</v>
      </c>
      <c r="I69" s="144" t="s">
        <v>274</v>
      </c>
      <c r="J69" s="13" t="s">
        <v>161</v>
      </c>
      <c r="K69" s="145">
        <v>40</v>
      </c>
      <c r="L69" s="14" t="s">
        <v>258</v>
      </c>
      <c r="M69" s="14">
        <v>2012</v>
      </c>
      <c r="N69" s="203"/>
      <c r="O69" s="13"/>
      <c r="P69" s="71"/>
      <c r="Q69" s="71"/>
      <c r="R69" s="202"/>
      <c r="S69" s="31"/>
      <c r="T69" s="23">
        <f t="shared" si="2"/>
        <v>0</v>
      </c>
      <c r="U69" s="23"/>
      <c r="V69" s="23"/>
      <c r="W69" s="23">
        <f t="shared" si="3"/>
        <v>0</v>
      </c>
      <c r="X69" s="23"/>
      <c r="Y69" s="23"/>
      <c r="Z69" s="28">
        <f t="shared" si="4"/>
        <v>0</v>
      </c>
      <c r="AA69" s="31">
        <f t="shared" si="8"/>
        <v>0</v>
      </c>
      <c r="AB69" s="28">
        <f t="shared" si="8"/>
        <v>0</v>
      </c>
      <c r="AC69" s="5">
        <f t="shared" si="9"/>
        <v>40</v>
      </c>
      <c r="AE69" s="5">
        <f t="shared" si="10"/>
        <v>0</v>
      </c>
      <c r="AG69" s="5">
        <f t="shared" si="5"/>
        <v>0</v>
      </c>
      <c r="AH69" s="9"/>
      <c r="AI69" s="5">
        <f t="shared" si="6"/>
        <v>-40</v>
      </c>
    </row>
    <row r="70" spans="1:35" ht="15.75">
      <c r="A70" s="201"/>
      <c r="B70" s="13" t="s">
        <v>162</v>
      </c>
      <c r="C70" s="106">
        <v>2897000</v>
      </c>
      <c r="D70" s="135" t="s">
        <v>45</v>
      </c>
      <c r="E70" s="13" t="s">
        <v>183</v>
      </c>
      <c r="F70" s="13">
        <v>876</v>
      </c>
      <c r="G70" s="13" t="s">
        <v>294</v>
      </c>
      <c r="H70" s="13">
        <v>1</v>
      </c>
      <c r="I70" s="144" t="s">
        <v>274</v>
      </c>
      <c r="J70" s="13" t="s">
        <v>161</v>
      </c>
      <c r="K70" s="145">
        <v>140</v>
      </c>
      <c r="L70" s="14" t="s">
        <v>258</v>
      </c>
      <c r="M70" s="14">
        <v>2012</v>
      </c>
      <c r="N70" s="203"/>
      <c r="O70" s="13"/>
      <c r="P70" s="71"/>
      <c r="Q70" s="71"/>
      <c r="R70" s="202"/>
      <c r="S70" s="31"/>
      <c r="T70" s="23">
        <f t="shared" si="2"/>
        <v>0</v>
      </c>
      <c r="U70" s="23"/>
      <c r="V70" s="23"/>
      <c r="W70" s="23">
        <f t="shared" si="3"/>
        <v>0</v>
      </c>
      <c r="X70" s="23"/>
      <c r="Y70" s="23"/>
      <c r="Z70" s="28">
        <f t="shared" si="4"/>
        <v>0</v>
      </c>
      <c r="AA70" s="31">
        <f t="shared" si="8"/>
        <v>0</v>
      </c>
      <c r="AB70" s="28">
        <f t="shared" si="8"/>
        <v>0</v>
      </c>
      <c r="AC70" s="5">
        <f t="shared" si="9"/>
        <v>140</v>
      </c>
      <c r="AE70" s="5">
        <f t="shared" si="10"/>
        <v>0</v>
      </c>
      <c r="AG70" s="5">
        <f t="shared" si="5"/>
        <v>0</v>
      </c>
      <c r="AH70" s="9"/>
      <c r="AI70" s="5">
        <f t="shared" si="6"/>
        <v>-140</v>
      </c>
    </row>
    <row r="71" spans="1:35" ht="31.5">
      <c r="A71" s="201"/>
      <c r="B71" s="13" t="s">
        <v>162</v>
      </c>
      <c r="C71" s="106">
        <v>2422170</v>
      </c>
      <c r="D71" s="135" t="s">
        <v>46</v>
      </c>
      <c r="E71" s="13" t="s">
        <v>184</v>
      </c>
      <c r="F71" s="13">
        <v>876</v>
      </c>
      <c r="G71" s="13" t="s">
        <v>294</v>
      </c>
      <c r="H71" s="13">
        <v>1</v>
      </c>
      <c r="I71" s="144" t="s">
        <v>274</v>
      </c>
      <c r="J71" s="13" t="s">
        <v>161</v>
      </c>
      <c r="K71" s="145">
        <v>50</v>
      </c>
      <c r="L71" s="14" t="s">
        <v>258</v>
      </c>
      <c r="M71" s="14">
        <v>2012</v>
      </c>
      <c r="N71" s="203"/>
      <c r="O71" s="13"/>
      <c r="P71" s="71"/>
      <c r="Q71" s="71"/>
      <c r="R71" s="202"/>
      <c r="S71" s="31"/>
      <c r="T71" s="23">
        <f t="shared" si="2"/>
        <v>0</v>
      </c>
      <c r="U71" s="23"/>
      <c r="V71" s="23"/>
      <c r="W71" s="23">
        <f t="shared" si="3"/>
        <v>0</v>
      </c>
      <c r="X71" s="23"/>
      <c r="Y71" s="23"/>
      <c r="Z71" s="28">
        <f t="shared" si="4"/>
        <v>0</v>
      </c>
      <c r="AA71" s="31">
        <f t="shared" si="8"/>
        <v>0</v>
      </c>
      <c r="AB71" s="28">
        <f t="shared" si="8"/>
        <v>0</v>
      </c>
      <c r="AC71" s="5">
        <f t="shared" si="9"/>
        <v>50</v>
      </c>
      <c r="AE71" s="5">
        <f t="shared" si="10"/>
        <v>0</v>
      </c>
      <c r="AG71" s="5">
        <f t="shared" si="5"/>
        <v>0</v>
      </c>
      <c r="AH71" s="9"/>
      <c r="AI71" s="5">
        <f t="shared" si="6"/>
        <v>-50</v>
      </c>
    </row>
    <row r="72" spans="1:35" ht="31.5">
      <c r="A72" s="201"/>
      <c r="B72" s="13" t="s">
        <v>162</v>
      </c>
      <c r="C72" s="106">
        <v>2893030</v>
      </c>
      <c r="D72" s="135" t="s">
        <v>47</v>
      </c>
      <c r="E72" s="13" t="s">
        <v>182</v>
      </c>
      <c r="F72" s="13">
        <v>876</v>
      </c>
      <c r="G72" s="13" t="s">
        <v>294</v>
      </c>
      <c r="H72" s="13">
        <v>1</v>
      </c>
      <c r="I72" s="144" t="s">
        <v>274</v>
      </c>
      <c r="J72" s="13" t="s">
        <v>161</v>
      </c>
      <c r="K72" s="145">
        <v>60</v>
      </c>
      <c r="L72" s="14" t="s">
        <v>258</v>
      </c>
      <c r="M72" s="14">
        <v>2012</v>
      </c>
      <c r="N72" s="203"/>
      <c r="O72" s="13"/>
      <c r="P72" s="71"/>
      <c r="Q72" s="71"/>
      <c r="R72" s="202"/>
      <c r="S72" s="31"/>
      <c r="T72" s="23">
        <f t="shared" si="2"/>
        <v>0</v>
      </c>
      <c r="U72" s="23"/>
      <c r="V72" s="23"/>
      <c r="W72" s="23">
        <f t="shared" si="3"/>
        <v>0</v>
      </c>
      <c r="X72" s="23"/>
      <c r="Y72" s="23"/>
      <c r="Z72" s="28">
        <f t="shared" si="4"/>
        <v>0</v>
      </c>
      <c r="AA72" s="31">
        <f t="shared" si="8"/>
        <v>0</v>
      </c>
      <c r="AB72" s="28">
        <f t="shared" si="8"/>
        <v>0</v>
      </c>
      <c r="AC72" s="5">
        <f t="shared" si="9"/>
        <v>60</v>
      </c>
      <c r="AE72" s="5">
        <f t="shared" si="10"/>
        <v>0</v>
      </c>
      <c r="AG72" s="5">
        <f t="shared" si="5"/>
        <v>0</v>
      </c>
      <c r="AH72" s="9"/>
      <c r="AI72" s="5">
        <f t="shared" si="6"/>
        <v>-60</v>
      </c>
    </row>
    <row r="73" spans="1:35" ht="15.75">
      <c r="A73" s="201"/>
      <c r="B73" s="13" t="s">
        <v>162</v>
      </c>
      <c r="C73" s="106">
        <v>2930340</v>
      </c>
      <c r="D73" s="135" t="s">
        <v>48</v>
      </c>
      <c r="E73" s="13"/>
      <c r="F73" s="13">
        <v>876</v>
      </c>
      <c r="G73" s="13" t="s">
        <v>294</v>
      </c>
      <c r="H73" s="13">
        <v>1</v>
      </c>
      <c r="I73" s="144" t="s">
        <v>274</v>
      </c>
      <c r="J73" s="13" t="s">
        <v>161</v>
      </c>
      <c r="K73" s="145">
        <v>80</v>
      </c>
      <c r="L73" s="14" t="s">
        <v>258</v>
      </c>
      <c r="M73" s="14">
        <v>2012</v>
      </c>
      <c r="N73" s="203"/>
      <c r="O73" s="13"/>
      <c r="P73" s="71"/>
      <c r="Q73" s="71"/>
      <c r="R73" s="202"/>
      <c r="S73" s="31">
        <v>11.061</v>
      </c>
      <c r="T73" s="23">
        <f t="shared" si="2"/>
        <v>11.061</v>
      </c>
      <c r="U73" s="23">
        <v>11.061</v>
      </c>
      <c r="V73" s="23"/>
      <c r="W73" s="23">
        <f t="shared" si="3"/>
        <v>11.061</v>
      </c>
      <c r="X73" s="23">
        <v>11.061</v>
      </c>
      <c r="Y73" s="23"/>
      <c r="Z73" s="28">
        <f t="shared" si="4"/>
        <v>0</v>
      </c>
      <c r="AA73" s="31">
        <f t="shared" si="8"/>
        <v>0</v>
      </c>
      <c r="AB73" s="28">
        <f t="shared" si="8"/>
        <v>0</v>
      </c>
      <c r="AC73" s="5">
        <f t="shared" si="9"/>
        <v>68.938999999999993</v>
      </c>
      <c r="AE73" s="5"/>
      <c r="AG73" s="5">
        <f t="shared" si="5"/>
        <v>0</v>
      </c>
      <c r="AH73" s="9"/>
      <c r="AI73" s="5">
        <f t="shared" si="6"/>
        <v>-80</v>
      </c>
    </row>
    <row r="74" spans="1:35" ht="15.75">
      <c r="A74" s="201"/>
      <c r="B74" s="13" t="s">
        <v>162</v>
      </c>
      <c r="C74" s="106">
        <v>2941101</v>
      </c>
      <c r="D74" s="135" t="s">
        <v>49</v>
      </c>
      <c r="E74" s="13" t="s">
        <v>185</v>
      </c>
      <c r="F74" s="13">
        <v>876</v>
      </c>
      <c r="G74" s="13" t="s">
        <v>294</v>
      </c>
      <c r="H74" s="13">
        <v>1</v>
      </c>
      <c r="I74" s="144" t="s">
        <v>274</v>
      </c>
      <c r="J74" s="13" t="s">
        <v>161</v>
      </c>
      <c r="K74" s="145">
        <v>100</v>
      </c>
      <c r="L74" s="14" t="s">
        <v>258</v>
      </c>
      <c r="M74" s="14">
        <v>2012</v>
      </c>
      <c r="N74" s="203"/>
      <c r="O74" s="13"/>
      <c r="P74" s="71"/>
      <c r="Q74" s="71"/>
      <c r="R74" s="202"/>
      <c r="S74" s="31"/>
      <c r="T74" s="23">
        <f t="shared" si="2"/>
        <v>0</v>
      </c>
      <c r="U74" s="23"/>
      <c r="V74" s="23"/>
      <c r="W74" s="23">
        <f t="shared" si="3"/>
        <v>0</v>
      </c>
      <c r="X74" s="23"/>
      <c r="Y74" s="23"/>
      <c r="Z74" s="28">
        <f t="shared" si="4"/>
        <v>0</v>
      </c>
      <c r="AA74" s="31">
        <f t="shared" si="8"/>
        <v>0</v>
      </c>
      <c r="AB74" s="28">
        <f t="shared" si="8"/>
        <v>0</v>
      </c>
      <c r="AC74" s="5">
        <f t="shared" si="9"/>
        <v>100</v>
      </c>
      <c r="AE74" s="5">
        <f>K74-AC74</f>
        <v>0</v>
      </c>
      <c r="AG74" s="5">
        <f t="shared" si="5"/>
        <v>0</v>
      </c>
      <c r="AH74" s="9"/>
      <c r="AI74" s="5">
        <f t="shared" si="6"/>
        <v>-100</v>
      </c>
    </row>
    <row r="75" spans="1:35" ht="31.5">
      <c r="A75" s="201"/>
      <c r="B75" s="13" t="s">
        <v>162</v>
      </c>
      <c r="C75" s="106">
        <v>3697030</v>
      </c>
      <c r="D75" s="135" t="s">
        <v>50</v>
      </c>
      <c r="E75" s="13" t="s">
        <v>182</v>
      </c>
      <c r="F75" s="13">
        <v>876</v>
      </c>
      <c r="G75" s="13" t="s">
        <v>294</v>
      </c>
      <c r="H75" s="13">
        <v>1</v>
      </c>
      <c r="I75" s="144" t="s">
        <v>274</v>
      </c>
      <c r="J75" s="13" t="s">
        <v>161</v>
      </c>
      <c r="K75" s="145">
        <f>632.82+500-K68-K69-K70-K71-K72-K73-K74</f>
        <v>592.82000000000016</v>
      </c>
      <c r="L75" s="14" t="s">
        <v>258</v>
      </c>
      <c r="M75" s="14">
        <v>2012</v>
      </c>
      <c r="N75" s="203"/>
      <c r="O75" s="13"/>
      <c r="P75" s="71"/>
      <c r="Q75" s="71"/>
      <c r="R75" s="202"/>
      <c r="S75" s="31">
        <f>65.57589+100+103.106</f>
        <v>268.68189000000001</v>
      </c>
      <c r="T75" s="23">
        <f t="shared" si="2"/>
        <v>297.92369000000002</v>
      </c>
      <c r="U75" s="23">
        <f>0+11.44561+51.43428+235.0438</f>
        <v>297.92369000000002</v>
      </c>
      <c r="V75" s="23"/>
      <c r="W75" s="23">
        <f t="shared" si="3"/>
        <v>482.97068999999999</v>
      </c>
      <c r="X75" s="23">
        <f>100+21.28761+51.43428+310.2488</f>
        <v>482.97068999999999</v>
      </c>
      <c r="Y75" s="23"/>
      <c r="Z75" s="28">
        <f t="shared" si="4"/>
        <v>185.04699999999997</v>
      </c>
      <c r="AA75" s="31">
        <f t="shared" si="8"/>
        <v>185.04699999999997</v>
      </c>
      <c r="AB75" s="28">
        <f t="shared" si="8"/>
        <v>0</v>
      </c>
      <c r="AC75" s="5">
        <f t="shared" si="9"/>
        <v>109.84931000000017</v>
      </c>
      <c r="AE75" s="5"/>
      <c r="AG75" s="5">
        <f t="shared" si="5"/>
        <v>-185.04699999999997</v>
      </c>
      <c r="AH75" s="9"/>
      <c r="AI75" s="5">
        <f t="shared" si="6"/>
        <v>-592.82000000000016</v>
      </c>
    </row>
    <row r="76" spans="1:35" ht="31.5">
      <c r="A76" s="134">
        <v>46</v>
      </c>
      <c r="B76" s="13" t="s">
        <v>162</v>
      </c>
      <c r="C76" s="106">
        <v>7425010</v>
      </c>
      <c r="D76" s="135" t="s">
        <v>104</v>
      </c>
      <c r="E76" s="13" t="s">
        <v>186</v>
      </c>
      <c r="F76" s="13">
        <v>876</v>
      </c>
      <c r="G76" s="13" t="s">
        <v>294</v>
      </c>
      <c r="H76" s="13">
        <v>1</v>
      </c>
      <c r="I76" s="144" t="s">
        <v>274</v>
      </c>
      <c r="J76" s="13" t="s">
        <v>161</v>
      </c>
      <c r="K76" s="145">
        <v>200</v>
      </c>
      <c r="L76" s="13" t="s">
        <v>258</v>
      </c>
      <c r="M76" s="14">
        <v>2012</v>
      </c>
      <c r="N76" s="13">
        <v>6</v>
      </c>
      <c r="O76" s="13"/>
      <c r="P76" s="71"/>
      <c r="Q76" s="71"/>
      <c r="R76" s="8" t="s">
        <v>4</v>
      </c>
      <c r="S76" s="31"/>
      <c r="T76" s="23">
        <f t="shared" si="2"/>
        <v>0</v>
      </c>
      <c r="U76" s="10">
        <v>0</v>
      </c>
      <c r="V76" s="10"/>
      <c r="W76" s="10">
        <f t="shared" si="3"/>
        <v>14.503830000000001</v>
      </c>
      <c r="X76" s="10">
        <v>14.503830000000001</v>
      </c>
      <c r="Y76" s="10"/>
      <c r="Z76" s="28">
        <f t="shared" si="4"/>
        <v>14.503830000000001</v>
      </c>
      <c r="AA76" s="31">
        <f t="shared" si="8"/>
        <v>14.503830000000001</v>
      </c>
      <c r="AB76" s="28">
        <f t="shared" si="8"/>
        <v>0</v>
      </c>
      <c r="AC76" s="5">
        <f t="shared" si="9"/>
        <v>185.49617000000001</v>
      </c>
      <c r="AE76" s="5"/>
      <c r="AG76" s="5">
        <f t="shared" si="5"/>
        <v>-14.503830000000001</v>
      </c>
      <c r="AH76" s="9"/>
      <c r="AI76" s="5">
        <f t="shared" si="6"/>
        <v>-200</v>
      </c>
    </row>
    <row r="77" spans="1:35" ht="15.75">
      <c r="A77" s="134">
        <v>47</v>
      </c>
      <c r="B77" s="13" t="s">
        <v>162</v>
      </c>
      <c r="C77" s="106">
        <v>3002770</v>
      </c>
      <c r="D77" s="135" t="s">
        <v>51</v>
      </c>
      <c r="E77" s="13"/>
      <c r="F77" s="13">
        <v>876</v>
      </c>
      <c r="G77" s="13" t="s">
        <v>294</v>
      </c>
      <c r="H77" s="13">
        <v>1</v>
      </c>
      <c r="I77" s="144" t="s">
        <v>274</v>
      </c>
      <c r="J77" s="13" t="s">
        <v>161</v>
      </c>
      <c r="K77" s="145">
        <v>523.84</v>
      </c>
      <c r="L77" s="14" t="s">
        <v>258</v>
      </c>
      <c r="M77" s="14">
        <v>2012</v>
      </c>
      <c r="N77" s="13">
        <v>6</v>
      </c>
      <c r="O77" s="13"/>
      <c r="P77" s="71"/>
      <c r="Q77" s="71"/>
      <c r="R77" s="8" t="s">
        <v>4</v>
      </c>
      <c r="S77" s="31">
        <v>348.78500000000003</v>
      </c>
      <c r="T77" s="23">
        <f t="shared" si="2"/>
        <v>0</v>
      </c>
      <c r="U77" s="23"/>
      <c r="V77" s="23"/>
      <c r="W77" s="23">
        <f t="shared" si="3"/>
        <v>0</v>
      </c>
      <c r="X77" s="23"/>
      <c r="Y77" s="23"/>
      <c r="Z77" s="28">
        <f t="shared" si="4"/>
        <v>0</v>
      </c>
      <c r="AA77" s="31">
        <f t="shared" si="8"/>
        <v>0</v>
      </c>
      <c r="AB77" s="28">
        <f t="shared" si="8"/>
        <v>0</v>
      </c>
      <c r="AC77" s="5">
        <f t="shared" si="9"/>
        <v>523.84</v>
      </c>
      <c r="AE77" s="5">
        <f>K77-AC77</f>
        <v>0</v>
      </c>
      <c r="AG77" s="5">
        <f t="shared" si="5"/>
        <v>0</v>
      </c>
      <c r="AH77" s="9"/>
      <c r="AI77" s="5">
        <f t="shared" si="6"/>
        <v>-523.84</v>
      </c>
    </row>
    <row r="78" spans="1:35" ht="30">
      <c r="A78" s="134">
        <v>48</v>
      </c>
      <c r="B78" s="13" t="s">
        <v>162</v>
      </c>
      <c r="C78" s="106">
        <v>3222010</v>
      </c>
      <c r="D78" s="135" t="s">
        <v>87</v>
      </c>
      <c r="E78" s="13"/>
      <c r="F78" s="13">
        <v>876</v>
      </c>
      <c r="G78" s="13" t="s">
        <v>294</v>
      </c>
      <c r="H78" s="13">
        <v>1</v>
      </c>
      <c r="I78" s="144" t="s">
        <v>274</v>
      </c>
      <c r="J78" s="13" t="s">
        <v>161</v>
      </c>
      <c r="K78" s="145">
        <v>30</v>
      </c>
      <c r="L78" s="14" t="s">
        <v>258</v>
      </c>
      <c r="M78" s="14">
        <v>2012</v>
      </c>
      <c r="N78" s="13">
        <v>6</v>
      </c>
      <c r="O78" s="13"/>
      <c r="P78" s="71"/>
      <c r="Q78" s="71"/>
      <c r="R78" s="8" t="s">
        <v>4</v>
      </c>
      <c r="S78" s="31"/>
      <c r="T78" s="23">
        <f t="shared" si="2"/>
        <v>0</v>
      </c>
      <c r="U78" s="23"/>
      <c r="V78" s="23"/>
      <c r="W78" s="23">
        <f t="shared" si="3"/>
        <v>0</v>
      </c>
      <c r="X78" s="23"/>
      <c r="Y78" s="23"/>
      <c r="Z78" s="28">
        <f t="shared" si="4"/>
        <v>0</v>
      </c>
      <c r="AA78" s="31">
        <f t="shared" si="8"/>
        <v>0</v>
      </c>
      <c r="AB78" s="28">
        <f t="shared" si="8"/>
        <v>0</v>
      </c>
      <c r="AC78" s="5">
        <f t="shared" si="9"/>
        <v>30</v>
      </c>
      <c r="AE78" s="5">
        <f>K78-AC78</f>
        <v>0</v>
      </c>
      <c r="AG78" s="5">
        <f t="shared" si="5"/>
        <v>0</v>
      </c>
      <c r="AH78" s="9"/>
      <c r="AI78" s="5">
        <f t="shared" si="6"/>
        <v>-30</v>
      </c>
    </row>
    <row r="79" spans="1:35" ht="31.5">
      <c r="A79" s="134">
        <v>49</v>
      </c>
      <c r="B79" s="13" t="s">
        <v>162</v>
      </c>
      <c r="C79" s="106">
        <v>2511103</v>
      </c>
      <c r="D79" s="135" t="s">
        <v>52</v>
      </c>
      <c r="E79" s="13" t="s">
        <v>182</v>
      </c>
      <c r="F79" s="13">
        <v>876</v>
      </c>
      <c r="G79" s="13" t="s">
        <v>294</v>
      </c>
      <c r="H79" s="13">
        <v>1</v>
      </c>
      <c r="I79" s="144" t="s">
        <v>274</v>
      </c>
      <c r="J79" s="13" t="s">
        <v>161</v>
      </c>
      <c r="K79" s="145">
        <f>2000*0.41</f>
        <v>820</v>
      </c>
      <c r="L79" s="14" t="s">
        <v>258</v>
      </c>
      <c r="M79" s="14">
        <v>2012</v>
      </c>
      <c r="N79" s="13">
        <v>6</v>
      </c>
      <c r="O79" s="13"/>
      <c r="P79" s="71"/>
      <c r="Q79" s="71"/>
      <c r="R79" s="8" t="s">
        <v>4</v>
      </c>
      <c r="S79" s="31">
        <f>1451.5787/($K$79+$K$80+$K$81)*K79</f>
        <v>661.2747411111111</v>
      </c>
      <c r="T79" s="23">
        <f t="shared" si="2"/>
        <v>515.15588888888885</v>
      </c>
      <c r="U79" s="23">
        <f>1130.83/($K$79+$K$80+$K$81)*K79</f>
        <v>515.15588888888885</v>
      </c>
      <c r="V79" s="23"/>
      <c r="W79" s="23">
        <f t="shared" si="3"/>
        <v>820</v>
      </c>
      <c r="X79" s="23">
        <f>1800/($K$79+$K$80+$K$81)*K79</f>
        <v>820</v>
      </c>
      <c r="Y79" s="23"/>
      <c r="Z79" s="28">
        <f t="shared" si="4"/>
        <v>304.84411111111115</v>
      </c>
      <c r="AA79" s="31">
        <f t="shared" si="8"/>
        <v>304.84411111111115</v>
      </c>
      <c r="AB79" s="28">
        <f t="shared" si="8"/>
        <v>0</v>
      </c>
      <c r="AC79" s="5">
        <f t="shared" si="9"/>
        <v>0</v>
      </c>
      <c r="AD79" s="191">
        <f>8372.36401-S79-S80-S81-S82-S83-S84</f>
        <v>-6.0000000075888238E-4</v>
      </c>
      <c r="AE79" s="5"/>
      <c r="AG79" s="5">
        <f t="shared" si="5"/>
        <v>-304.84411111111115</v>
      </c>
      <c r="AH79" s="9">
        <f>[1]TDSheet!$J$3697</f>
        <v>16393.27</v>
      </c>
      <c r="AI79" s="5">
        <f>AH79-K79-K80-K81-K82-K83-K84</f>
        <v>-1998.7199999999993</v>
      </c>
    </row>
    <row r="80" spans="1:35" ht="31.5">
      <c r="A80" s="134">
        <v>50</v>
      </c>
      <c r="B80" s="13" t="s">
        <v>162</v>
      </c>
      <c r="C80" s="106">
        <v>2511101</v>
      </c>
      <c r="D80" s="135" t="s">
        <v>53</v>
      </c>
      <c r="E80" s="13" t="s">
        <v>182</v>
      </c>
      <c r="F80" s="13">
        <v>876</v>
      </c>
      <c r="G80" s="13" t="s">
        <v>294</v>
      </c>
      <c r="H80" s="13">
        <v>1</v>
      </c>
      <c r="I80" s="144" t="s">
        <v>274</v>
      </c>
      <c r="J80" s="13" t="s">
        <v>161</v>
      </c>
      <c r="K80" s="145">
        <f>2000*0.41</f>
        <v>820</v>
      </c>
      <c r="L80" s="14" t="s">
        <v>258</v>
      </c>
      <c r="M80" s="14">
        <v>2012</v>
      </c>
      <c r="N80" s="13">
        <v>6</v>
      </c>
      <c r="O80" s="13"/>
      <c r="P80" s="71"/>
      <c r="Q80" s="71"/>
      <c r="R80" s="8" t="s">
        <v>4</v>
      </c>
      <c r="S80" s="31">
        <f>1451.5787/($K$79+$K$80+$K$81)*K80</f>
        <v>661.2747411111111</v>
      </c>
      <c r="T80" s="23">
        <f t="shared" si="2"/>
        <v>515.15588888888885</v>
      </c>
      <c r="U80" s="23">
        <f>1130.83/($K$79+$K$80+$K$81)*K80</f>
        <v>515.15588888888885</v>
      </c>
      <c r="V80" s="23"/>
      <c r="W80" s="23">
        <f t="shared" si="3"/>
        <v>820</v>
      </c>
      <c r="X80" s="23">
        <f>1800/($K$79+$K$80+$K$81)*K80</f>
        <v>820</v>
      </c>
      <c r="Y80" s="23"/>
      <c r="Z80" s="28">
        <f t="shared" si="4"/>
        <v>304.84411111111115</v>
      </c>
      <c r="AA80" s="31">
        <f t="shared" si="8"/>
        <v>304.84411111111115</v>
      </c>
      <c r="AB80" s="28">
        <f t="shared" si="8"/>
        <v>0</v>
      </c>
      <c r="AC80" s="5">
        <f t="shared" si="9"/>
        <v>0</v>
      </c>
      <c r="AD80" s="191"/>
      <c r="AE80" s="5"/>
      <c r="AG80" s="5">
        <f t="shared" si="5"/>
        <v>-304.84411111111115</v>
      </c>
      <c r="AH80" s="9"/>
      <c r="AI80" s="5"/>
    </row>
    <row r="81" spans="1:35" ht="31.5">
      <c r="A81" s="134">
        <v>51</v>
      </c>
      <c r="B81" s="13" t="s">
        <v>162</v>
      </c>
      <c r="C81" s="106">
        <v>2511102</v>
      </c>
      <c r="D81" s="135" t="s">
        <v>54</v>
      </c>
      <c r="E81" s="13" t="s">
        <v>182</v>
      </c>
      <c r="F81" s="13">
        <v>876</v>
      </c>
      <c r="G81" s="13" t="s">
        <v>294</v>
      </c>
      <c r="H81" s="13">
        <v>1</v>
      </c>
      <c r="I81" s="144" t="s">
        <v>274</v>
      </c>
      <c r="J81" s="13" t="s">
        <v>161</v>
      </c>
      <c r="K81" s="145">
        <f>2000*0.08</f>
        <v>160</v>
      </c>
      <c r="L81" s="14" t="s">
        <v>258</v>
      </c>
      <c r="M81" s="14">
        <v>2012</v>
      </c>
      <c r="N81" s="13">
        <v>6</v>
      </c>
      <c r="O81" s="13"/>
      <c r="P81" s="71"/>
      <c r="Q81" s="71"/>
      <c r="R81" s="8" t="s">
        <v>4</v>
      </c>
      <c r="S81" s="31">
        <f>1451.5787/($K$79+$K$80+$K$81)*K81</f>
        <v>129.02921777777777</v>
      </c>
      <c r="T81" s="23">
        <f t="shared" si="2"/>
        <v>100.51822222222222</v>
      </c>
      <c r="U81" s="23">
        <f>1130.83/($K$79+$K$80+$K$81)*K81</f>
        <v>100.51822222222222</v>
      </c>
      <c r="V81" s="23"/>
      <c r="W81" s="23">
        <f t="shared" si="3"/>
        <v>160</v>
      </c>
      <c r="X81" s="23">
        <f>1800/($K$79+$K$80+$K$81)*K81</f>
        <v>160</v>
      </c>
      <c r="Y81" s="23"/>
      <c r="Z81" s="28">
        <f t="shared" si="4"/>
        <v>59.481777777777779</v>
      </c>
      <c r="AA81" s="31">
        <f t="shared" si="8"/>
        <v>59.481777777777779</v>
      </c>
      <c r="AB81" s="28">
        <f t="shared" si="8"/>
        <v>0</v>
      </c>
      <c r="AC81" s="5">
        <f t="shared" si="9"/>
        <v>0</v>
      </c>
      <c r="AD81" s="191"/>
      <c r="AE81" s="5"/>
      <c r="AG81" s="5">
        <f t="shared" si="5"/>
        <v>-59.481777777777779</v>
      </c>
      <c r="AH81" s="9"/>
      <c r="AI81" s="5"/>
    </row>
    <row r="82" spans="1:35" ht="31.5">
      <c r="A82" s="134">
        <v>52</v>
      </c>
      <c r="B82" s="13" t="s">
        <v>162</v>
      </c>
      <c r="C82" s="106">
        <v>3430000</v>
      </c>
      <c r="D82" s="135" t="s">
        <v>90</v>
      </c>
      <c r="E82" s="13" t="s">
        <v>182</v>
      </c>
      <c r="F82" s="13">
        <v>876</v>
      </c>
      <c r="G82" s="13" t="s">
        <v>294</v>
      </c>
      <c r="H82" s="13">
        <v>1</v>
      </c>
      <c r="I82" s="144" t="s">
        <v>274</v>
      </c>
      <c r="J82" s="13" t="s">
        <v>161</v>
      </c>
      <c r="K82" s="145">
        <f>13591.99*0.3+3000</f>
        <v>7077.5969999999998</v>
      </c>
      <c r="L82" s="14" t="s">
        <v>258</v>
      </c>
      <c r="M82" s="14">
        <v>2012</v>
      </c>
      <c r="N82" s="13">
        <v>6</v>
      </c>
      <c r="O82" s="13"/>
      <c r="P82" s="71"/>
      <c r="Q82" s="71"/>
      <c r="R82" s="8" t="s">
        <v>4</v>
      </c>
      <c r="S82" s="31">
        <f>(8372.36401-1451.5781)/($K$82+$K$83+$K$84)*K82</f>
        <v>2952.1795513532898</v>
      </c>
      <c r="T82" s="23">
        <f t="shared" si="2"/>
        <v>1917.512815705705</v>
      </c>
      <c r="U82" s="23">
        <f>(5626.0497-1130.83)/($K$82+$K$83+$K$84)*K82</f>
        <v>1917.512815705705</v>
      </c>
      <c r="V82" s="23"/>
      <c r="W82" s="23">
        <f t="shared" si="3"/>
        <v>3304.7375978912642</v>
      </c>
      <c r="X82" s="23">
        <f>(9547.28671-1800)/($K$82+$K$83+$K$84)*K82</f>
        <v>3304.7375978912642</v>
      </c>
      <c r="Y82" s="23"/>
      <c r="Z82" s="28">
        <f t="shared" si="4"/>
        <v>1387.2247821855592</v>
      </c>
      <c r="AA82" s="31">
        <f t="shared" si="8"/>
        <v>1387.2247821855592</v>
      </c>
      <c r="AB82" s="28">
        <f t="shared" si="8"/>
        <v>0</v>
      </c>
      <c r="AC82" s="5">
        <f t="shared" si="9"/>
        <v>3772.8594021087356</v>
      </c>
      <c r="AD82" s="191"/>
      <c r="AE82" s="5"/>
      <c r="AG82" s="5">
        <f t="shared" si="5"/>
        <v>-1387.2247821855592</v>
      </c>
      <c r="AH82" s="9"/>
      <c r="AI82" s="5"/>
    </row>
    <row r="83" spans="1:35" ht="31.5">
      <c r="A83" s="134">
        <v>53</v>
      </c>
      <c r="B83" s="13" t="s">
        <v>162</v>
      </c>
      <c r="C83" s="106">
        <v>3430000</v>
      </c>
      <c r="D83" s="135" t="s">
        <v>91</v>
      </c>
      <c r="E83" s="13" t="s">
        <v>182</v>
      </c>
      <c r="F83" s="13">
        <v>876</v>
      </c>
      <c r="G83" s="172" t="s">
        <v>294</v>
      </c>
      <c r="H83" s="13">
        <v>1</v>
      </c>
      <c r="I83" s="144" t="s">
        <v>274</v>
      </c>
      <c r="J83" s="13" t="s">
        <v>161</v>
      </c>
      <c r="K83" s="145">
        <f>13591.99*0.3</f>
        <v>4077.5969999999998</v>
      </c>
      <c r="L83" s="14" t="s">
        <v>258</v>
      </c>
      <c r="M83" s="14">
        <v>2012</v>
      </c>
      <c r="N83" s="13">
        <v>6</v>
      </c>
      <c r="O83" s="13"/>
      <c r="P83" s="71"/>
      <c r="Q83" s="71"/>
      <c r="R83" s="8" t="s">
        <v>4</v>
      </c>
      <c r="S83" s="31">
        <f>(8372.36401-1451.5781)/($K$82+$K$83+$K$84)*K83</f>
        <v>1700.8312965628759</v>
      </c>
      <c r="T83" s="23">
        <f t="shared" si="2"/>
        <v>1104.7315218404121</v>
      </c>
      <c r="U83" s="23">
        <f>(5626.0497-1130.83)/($K$82+$K$83+$K$84)*K83</f>
        <v>1104.7315218404121</v>
      </c>
      <c r="V83" s="23"/>
      <c r="W83" s="23">
        <f t="shared" si="3"/>
        <v>1903.949619475173</v>
      </c>
      <c r="X83" s="23">
        <f>(9547.28671-1800)/($K$82+$K$83+$K$84)*K83</f>
        <v>1903.949619475173</v>
      </c>
      <c r="Y83" s="23"/>
      <c r="Z83" s="28">
        <f t="shared" si="4"/>
        <v>799.21809763476085</v>
      </c>
      <c r="AA83" s="31">
        <f t="shared" si="8"/>
        <v>799.21809763476085</v>
      </c>
      <c r="AB83" s="28">
        <f t="shared" si="8"/>
        <v>0</v>
      </c>
      <c r="AC83" s="5">
        <f t="shared" si="9"/>
        <v>2173.647380524827</v>
      </c>
      <c r="AD83" s="191"/>
      <c r="AE83" s="5"/>
      <c r="AG83" s="5">
        <f t="shared" si="5"/>
        <v>-799.21809763476085</v>
      </c>
      <c r="AH83" s="9"/>
      <c r="AI83" s="5"/>
    </row>
    <row r="84" spans="1:35" ht="31.5">
      <c r="A84" s="134">
        <v>54</v>
      </c>
      <c r="B84" s="13" t="s">
        <v>162</v>
      </c>
      <c r="C84" s="106">
        <v>3430000</v>
      </c>
      <c r="D84" s="135" t="s">
        <v>88</v>
      </c>
      <c r="E84" s="13" t="s">
        <v>182</v>
      </c>
      <c r="F84" s="13">
        <v>876</v>
      </c>
      <c r="G84" s="13" t="s">
        <v>294</v>
      </c>
      <c r="H84" s="13">
        <v>1</v>
      </c>
      <c r="I84" s="144" t="s">
        <v>274</v>
      </c>
      <c r="J84" s="13" t="s">
        <v>161</v>
      </c>
      <c r="K84" s="145">
        <f>13591.99*0.4</f>
        <v>5436.7960000000003</v>
      </c>
      <c r="L84" s="14" t="s">
        <v>258</v>
      </c>
      <c r="M84" s="14">
        <v>2012</v>
      </c>
      <c r="N84" s="13">
        <v>6</v>
      </c>
      <c r="O84" s="13"/>
      <c r="P84" s="71"/>
      <c r="Q84" s="71"/>
      <c r="R84" s="8" t="s">
        <v>4</v>
      </c>
      <c r="S84" s="31">
        <f>(8372.36401-1451.5781)/($K$82+$K$83+$K$84)*K84</f>
        <v>2267.7750620838347</v>
      </c>
      <c r="T84" s="23">
        <f t="shared" si="2"/>
        <v>1472.975362453883</v>
      </c>
      <c r="U84" s="23">
        <f>(5626.0497-1130.83)/($K$82+$K$83+$K$84)*K84</f>
        <v>1472.975362453883</v>
      </c>
      <c r="V84" s="23"/>
      <c r="W84" s="23">
        <f t="shared" si="3"/>
        <v>2538.5994926335643</v>
      </c>
      <c r="X84" s="23">
        <f>(9547.28671-1800)/($K$82+$K$83+$K$84)*K84</f>
        <v>2538.5994926335643</v>
      </c>
      <c r="Y84" s="23"/>
      <c r="Z84" s="28">
        <f t="shared" si="4"/>
        <v>1065.6241301796813</v>
      </c>
      <c r="AA84" s="31">
        <f t="shared" si="8"/>
        <v>1065.6241301796813</v>
      </c>
      <c r="AB84" s="28">
        <f t="shared" si="8"/>
        <v>0</v>
      </c>
      <c r="AC84" s="5">
        <f t="shared" si="9"/>
        <v>2898.196507366436</v>
      </c>
      <c r="AD84" s="191"/>
      <c r="AE84" s="5"/>
      <c r="AG84" s="5">
        <f t="shared" si="5"/>
        <v>-1065.6241301796813</v>
      </c>
      <c r="AH84" s="9"/>
      <c r="AI84" s="5"/>
    </row>
    <row r="85" spans="1:35" ht="31.5">
      <c r="A85" s="134">
        <v>55</v>
      </c>
      <c r="B85" s="13" t="s">
        <v>162</v>
      </c>
      <c r="C85" s="106">
        <v>2944020</v>
      </c>
      <c r="D85" s="135" t="s">
        <v>89</v>
      </c>
      <c r="E85" s="13" t="s">
        <v>182</v>
      </c>
      <c r="F85" s="13">
        <v>876</v>
      </c>
      <c r="G85" s="13" t="s">
        <v>294</v>
      </c>
      <c r="H85" s="13">
        <v>1</v>
      </c>
      <c r="I85" s="144" t="s">
        <v>274</v>
      </c>
      <c r="J85" s="13" t="s">
        <v>161</v>
      </c>
      <c r="K85" s="145">
        <v>15</v>
      </c>
      <c r="L85" s="14" t="s">
        <v>258</v>
      </c>
      <c r="M85" s="14">
        <v>2012</v>
      </c>
      <c r="N85" s="13">
        <v>6</v>
      </c>
      <c r="O85" s="13"/>
      <c r="P85" s="71"/>
      <c r="Q85" s="71"/>
      <c r="R85" s="8" t="s">
        <v>4</v>
      </c>
      <c r="S85" s="31"/>
      <c r="T85" s="23">
        <f t="shared" si="2"/>
        <v>0</v>
      </c>
      <c r="U85" s="23"/>
      <c r="V85" s="23"/>
      <c r="W85" s="23">
        <f t="shared" si="3"/>
        <v>0</v>
      </c>
      <c r="X85" s="23"/>
      <c r="Y85" s="23"/>
      <c r="Z85" s="28">
        <f t="shared" si="4"/>
        <v>0</v>
      </c>
      <c r="AA85" s="31">
        <f t="shared" si="8"/>
        <v>0</v>
      </c>
      <c r="AB85" s="28">
        <f t="shared" si="8"/>
        <v>0</v>
      </c>
      <c r="AC85" s="5">
        <f t="shared" si="9"/>
        <v>15</v>
      </c>
      <c r="AE85" s="5">
        <f>K85-AC85</f>
        <v>0</v>
      </c>
      <c r="AG85" s="5">
        <f t="shared" si="5"/>
        <v>0</v>
      </c>
      <c r="AH85" s="9"/>
      <c r="AI85" s="5">
        <f t="shared" si="6"/>
        <v>-15</v>
      </c>
    </row>
    <row r="86" spans="1:35" ht="31.5">
      <c r="A86" s="134">
        <v>56</v>
      </c>
      <c r="B86" s="13" t="s">
        <v>162</v>
      </c>
      <c r="C86" s="106">
        <v>3221000</v>
      </c>
      <c r="D86" s="135" t="s">
        <v>73</v>
      </c>
      <c r="E86" s="13" t="s">
        <v>182</v>
      </c>
      <c r="F86" s="13">
        <v>876</v>
      </c>
      <c r="G86" s="13" t="s">
        <v>294</v>
      </c>
      <c r="H86" s="13">
        <v>1</v>
      </c>
      <c r="I86" s="144" t="s">
        <v>274</v>
      </c>
      <c r="J86" s="13" t="s">
        <v>161</v>
      </c>
      <c r="K86" s="145">
        <v>653.38</v>
      </c>
      <c r="L86" s="14" t="s">
        <v>258</v>
      </c>
      <c r="M86" s="14">
        <v>2012</v>
      </c>
      <c r="N86" s="13">
        <v>6</v>
      </c>
      <c r="O86" s="13"/>
      <c r="P86" s="71"/>
      <c r="Q86" s="71"/>
      <c r="R86" s="8" t="s">
        <v>4</v>
      </c>
      <c r="S86" s="31"/>
      <c r="T86" s="23">
        <f t="shared" si="2"/>
        <v>0</v>
      </c>
      <c r="U86" s="23"/>
      <c r="V86" s="23"/>
      <c r="W86" s="23">
        <f t="shared" si="3"/>
        <v>0</v>
      </c>
      <c r="X86" s="23"/>
      <c r="Y86" s="23"/>
      <c r="Z86" s="28">
        <f t="shared" si="4"/>
        <v>0</v>
      </c>
      <c r="AA86" s="31">
        <f t="shared" si="8"/>
        <v>0</v>
      </c>
      <c r="AB86" s="28">
        <f t="shared" si="8"/>
        <v>0</v>
      </c>
      <c r="AC86" s="5">
        <f t="shared" si="9"/>
        <v>653.38</v>
      </c>
      <c r="AE86" s="5">
        <f>K86-AC86</f>
        <v>0</v>
      </c>
      <c r="AG86" s="5">
        <f t="shared" si="5"/>
        <v>0</v>
      </c>
      <c r="AH86" s="9"/>
      <c r="AI86" s="5">
        <f t="shared" si="6"/>
        <v>-653.38</v>
      </c>
    </row>
    <row r="87" spans="1:35" ht="15.75">
      <c r="A87" s="134">
        <v>57</v>
      </c>
      <c r="B87" s="13" t="s">
        <v>162</v>
      </c>
      <c r="C87" s="106">
        <v>2320020</v>
      </c>
      <c r="D87" s="135" t="s">
        <v>74</v>
      </c>
      <c r="E87" s="13" t="s">
        <v>187</v>
      </c>
      <c r="F87" s="13">
        <v>876</v>
      </c>
      <c r="G87" s="13" t="s">
        <v>294</v>
      </c>
      <c r="H87" s="13">
        <v>1</v>
      </c>
      <c r="I87" s="144" t="s">
        <v>274</v>
      </c>
      <c r="J87" s="13" t="s">
        <v>161</v>
      </c>
      <c r="K87" s="145">
        <f>41485.4*0.302</f>
        <v>12528.5908</v>
      </c>
      <c r="L87" s="14" t="s">
        <v>258</v>
      </c>
      <c r="M87" s="14">
        <v>2012</v>
      </c>
      <c r="N87" s="13">
        <v>3</v>
      </c>
      <c r="O87" s="13"/>
      <c r="P87" s="71"/>
      <c r="Q87" s="71"/>
      <c r="R87" s="8" t="s">
        <v>4</v>
      </c>
      <c r="S87" s="31">
        <f>679.17429</f>
        <v>679.17429000000004</v>
      </c>
      <c r="T87" s="23">
        <f t="shared" si="2"/>
        <v>1562.3374131871631</v>
      </c>
      <c r="U87" s="23">
        <f>6821.07441/($X$87+$X$88+$X$89+$X$90)*X87</f>
        <v>1484.6533331871631</v>
      </c>
      <c r="V87" s="23">
        <v>77.684079999999994</v>
      </c>
      <c r="W87" s="23">
        <f t="shared" si="3"/>
        <v>2198.1572000000001</v>
      </c>
      <c r="X87" s="23">
        <f>2041.575</f>
        <v>2041.575</v>
      </c>
      <c r="Y87" s="23">
        <v>156.5822</v>
      </c>
      <c r="Z87" s="28">
        <f t="shared" si="4"/>
        <v>635.81978681283704</v>
      </c>
      <c r="AA87" s="31">
        <f t="shared" ref="AA87:AB118" si="11">X87-U87</f>
        <v>556.92166681283697</v>
      </c>
      <c r="AB87" s="28">
        <f t="shared" si="11"/>
        <v>78.898120000000006</v>
      </c>
      <c r="AC87" s="5">
        <f t="shared" ref="AC87:AC118" si="12">K87-X87</f>
        <v>10487.015799999999</v>
      </c>
      <c r="AD87" s="191">
        <f>8212.02264-S87-S88-S89-S90</f>
        <v>6.9999999027459126E-5</v>
      </c>
      <c r="AE87" s="5"/>
      <c r="AG87" s="5">
        <f t="shared" si="5"/>
        <v>-556.92166681283697</v>
      </c>
      <c r="AH87" s="9">
        <f>[1]TDSheet!$J$3467</f>
        <v>35945.82</v>
      </c>
      <c r="AI87" s="5">
        <f>AH87-K87-K88-K89-K90</f>
        <v>-5539.5799999999981</v>
      </c>
    </row>
    <row r="88" spans="1:35" ht="15.75">
      <c r="A88" s="134">
        <v>58</v>
      </c>
      <c r="B88" s="13" t="s">
        <v>162</v>
      </c>
      <c r="C88" s="106">
        <v>2320020</v>
      </c>
      <c r="D88" s="135" t="s">
        <v>75</v>
      </c>
      <c r="E88" s="13" t="s">
        <v>188</v>
      </c>
      <c r="F88" s="13">
        <v>876</v>
      </c>
      <c r="G88" s="13" t="s">
        <v>294</v>
      </c>
      <c r="H88" s="13">
        <v>1</v>
      </c>
      <c r="I88" s="144" t="s">
        <v>274</v>
      </c>
      <c r="J88" s="13" t="s">
        <v>161</v>
      </c>
      <c r="K88" s="145">
        <f>41485.4*0.128</f>
        <v>5310.1312000000007</v>
      </c>
      <c r="L88" s="14" t="s">
        <v>258</v>
      </c>
      <c r="M88" s="14">
        <v>2012</v>
      </c>
      <c r="N88" s="13">
        <v>3</v>
      </c>
      <c r="O88" s="13"/>
      <c r="P88" s="71"/>
      <c r="Q88" s="71"/>
      <c r="R88" s="8" t="s">
        <v>4</v>
      </c>
      <c r="S88" s="31">
        <f>1651.8375</f>
        <v>1651.8375000000001</v>
      </c>
      <c r="T88" s="23">
        <f t="shared" ref="T88:T142" si="13">U88+V88</f>
        <v>1513.7831758662114</v>
      </c>
      <c r="U88" s="23">
        <f>6821.07441/($X$87+$X$88+$X$89+$X$90)*X88</f>
        <v>1513.7831758662114</v>
      </c>
      <c r="V88" s="23"/>
      <c r="W88" s="23">
        <f t="shared" ref="W88:W142" si="14">X88++Y88</f>
        <v>2081.6320000000001</v>
      </c>
      <c r="X88" s="23">
        <f>2081.632</f>
        <v>2081.6320000000001</v>
      </c>
      <c r="Y88" s="23"/>
      <c r="Z88" s="28">
        <f t="shared" ref="Z88:Z142" si="15">AA88+AB88</f>
        <v>567.84882413378864</v>
      </c>
      <c r="AA88" s="31">
        <f t="shared" si="11"/>
        <v>567.84882413378864</v>
      </c>
      <c r="AB88" s="28">
        <f t="shared" si="11"/>
        <v>0</v>
      </c>
      <c r="AC88" s="5">
        <f t="shared" si="12"/>
        <v>3228.4992000000007</v>
      </c>
      <c r="AD88" s="191"/>
      <c r="AE88" s="5"/>
      <c r="AG88" s="5">
        <f t="shared" ref="AG88:AG143" si="16">U88-X88</f>
        <v>-567.84882413378864</v>
      </c>
      <c r="AH88" s="9"/>
      <c r="AI88" s="5"/>
    </row>
    <row r="89" spans="1:35" ht="15.75">
      <c r="A89" s="134">
        <v>59</v>
      </c>
      <c r="B89" s="13" t="s">
        <v>162</v>
      </c>
      <c r="C89" s="106">
        <v>2320232</v>
      </c>
      <c r="D89" s="135" t="s">
        <v>55</v>
      </c>
      <c r="E89" s="13" t="s">
        <v>189</v>
      </c>
      <c r="F89" s="13">
        <v>876</v>
      </c>
      <c r="G89" s="13" t="s">
        <v>294</v>
      </c>
      <c r="H89" s="13">
        <v>1</v>
      </c>
      <c r="I89" s="144" t="s">
        <v>274</v>
      </c>
      <c r="J89" s="13" t="s">
        <v>161</v>
      </c>
      <c r="K89" s="145">
        <f>41485.4*0.51</f>
        <v>21157.554</v>
      </c>
      <c r="L89" s="14" t="s">
        <v>258</v>
      </c>
      <c r="M89" s="14">
        <v>2012</v>
      </c>
      <c r="N89" s="13">
        <v>3</v>
      </c>
      <c r="O89" s="13"/>
      <c r="P89" s="71"/>
      <c r="Q89" s="71"/>
      <c r="R89" s="8" t="s">
        <v>4</v>
      </c>
      <c r="S89" s="31">
        <f>3845.75+1651.146</f>
        <v>5496.8959999999997</v>
      </c>
      <c r="T89" s="23">
        <f t="shared" si="13"/>
        <v>3407.5072817613282</v>
      </c>
      <c r="U89" s="23">
        <f>6821.07441/($X$87+$X$88+$X$89+$X$90)*X89</f>
        <v>3407.5072817613282</v>
      </c>
      <c r="V89" s="23"/>
      <c r="W89" s="23">
        <f t="shared" si="14"/>
        <v>4685.7279899999985</v>
      </c>
      <c r="X89" s="23">
        <f>9379.78899-X87-X88-X90</f>
        <v>4685.7279899999985</v>
      </c>
      <c r="Y89" s="23"/>
      <c r="Z89" s="28">
        <f t="shared" si="15"/>
        <v>1278.2207082386703</v>
      </c>
      <c r="AA89" s="31">
        <f t="shared" si="11"/>
        <v>1278.2207082386703</v>
      </c>
      <c r="AB89" s="28">
        <f t="shared" si="11"/>
        <v>0</v>
      </c>
      <c r="AC89" s="5">
        <f t="shared" si="12"/>
        <v>16471.826010000001</v>
      </c>
      <c r="AD89" s="191"/>
      <c r="AE89" s="5"/>
      <c r="AG89" s="5">
        <f t="shared" si="16"/>
        <v>-1278.2207082386703</v>
      </c>
      <c r="AH89" s="9"/>
      <c r="AI89" s="5"/>
    </row>
    <row r="90" spans="1:35" ht="30">
      <c r="A90" s="134">
        <v>60</v>
      </c>
      <c r="B90" s="13" t="s">
        <v>162</v>
      </c>
      <c r="C90" s="106">
        <v>2320212</v>
      </c>
      <c r="D90" s="135" t="s">
        <v>56</v>
      </c>
      <c r="E90" s="13" t="s">
        <v>190</v>
      </c>
      <c r="F90" s="13">
        <v>876</v>
      </c>
      <c r="G90" s="13" t="s">
        <v>294</v>
      </c>
      <c r="H90" s="13">
        <v>1</v>
      </c>
      <c r="I90" s="144" t="s">
        <v>274</v>
      </c>
      <c r="J90" s="13" t="s">
        <v>161</v>
      </c>
      <c r="K90" s="145">
        <f>41485.4*0.06</f>
        <v>2489.1239999999998</v>
      </c>
      <c r="L90" s="14" t="s">
        <v>258</v>
      </c>
      <c r="M90" s="14">
        <v>2012</v>
      </c>
      <c r="N90" s="13">
        <v>3</v>
      </c>
      <c r="O90" s="13"/>
      <c r="P90" s="71"/>
      <c r="Q90" s="71"/>
      <c r="R90" s="8" t="s">
        <v>4</v>
      </c>
      <c r="S90" s="31">
        <f>384.11478</f>
        <v>384.11478</v>
      </c>
      <c r="T90" s="23">
        <f t="shared" si="13"/>
        <v>415.13061918529803</v>
      </c>
      <c r="U90" s="23">
        <f>6821.07441/($X$87+$X$88+$X$89+$X$90)*X90</f>
        <v>415.13061918529803</v>
      </c>
      <c r="V90" s="23"/>
      <c r="W90" s="23">
        <f t="shared" si="14"/>
        <v>570.85400000000004</v>
      </c>
      <c r="X90" s="23">
        <v>570.85400000000004</v>
      </c>
      <c r="Y90" s="23"/>
      <c r="Z90" s="28">
        <f t="shared" si="15"/>
        <v>155.72338081470201</v>
      </c>
      <c r="AA90" s="31">
        <f t="shared" si="11"/>
        <v>155.72338081470201</v>
      </c>
      <c r="AB90" s="28">
        <f t="shared" si="11"/>
        <v>0</v>
      </c>
      <c r="AC90" s="5">
        <f t="shared" si="12"/>
        <v>1918.2699999999998</v>
      </c>
      <c r="AD90" s="191"/>
      <c r="AE90" s="5"/>
      <c r="AG90" s="5">
        <f t="shared" si="16"/>
        <v>-155.72338081470201</v>
      </c>
      <c r="AH90" s="9"/>
      <c r="AI90" s="5"/>
    </row>
    <row r="91" spans="1:35" ht="15.75">
      <c r="A91" s="134">
        <v>61</v>
      </c>
      <c r="B91" s="13" t="s">
        <v>162</v>
      </c>
      <c r="C91" s="106">
        <v>2320221</v>
      </c>
      <c r="D91" s="135" t="s">
        <v>57</v>
      </c>
      <c r="E91" s="13" t="s">
        <v>191</v>
      </c>
      <c r="F91" s="13">
        <v>876</v>
      </c>
      <c r="G91" s="13" t="s">
        <v>294</v>
      </c>
      <c r="H91" s="13">
        <v>1</v>
      </c>
      <c r="I91" s="144" t="s">
        <v>274</v>
      </c>
      <c r="J91" s="13" t="s">
        <v>161</v>
      </c>
      <c r="K91" s="145">
        <f>1000+44972.8</f>
        <v>45972.800000000003</v>
      </c>
      <c r="L91" s="14" t="s">
        <v>258</v>
      </c>
      <c r="M91" s="14">
        <v>2012</v>
      </c>
      <c r="N91" s="13">
        <v>3</v>
      </c>
      <c r="O91" s="13"/>
      <c r="P91" s="71"/>
      <c r="Q91" s="71"/>
      <c r="R91" s="8" t="s">
        <v>4</v>
      </c>
      <c r="S91" s="31"/>
      <c r="T91" s="23">
        <f t="shared" si="13"/>
        <v>0</v>
      </c>
      <c r="U91" s="23"/>
      <c r="V91" s="23"/>
      <c r="W91" s="23">
        <f t="shared" si="14"/>
        <v>0</v>
      </c>
      <c r="X91" s="23"/>
      <c r="Y91" s="23"/>
      <c r="Z91" s="28">
        <f t="shared" si="15"/>
        <v>0</v>
      </c>
      <c r="AA91" s="31">
        <f t="shared" si="11"/>
        <v>0</v>
      </c>
      <c r="AB91" s="28">
        <f t="shared" si="11"/>
        <v>0</v>
      </c>
      <c r="AC91" s="5">
        <f t="shared" si="12"/>
        <v>45972.800000000003</v>
      </c>
      <c r="AE91" s="5">
        <f>K91-AC91</f>
        <v>0</v>
      </c>
      <c r="AG91" s="5">
        <f t="shared" si="16"/>
        <v>0</v>
      </c>
      <c r="AH91" s="10"/>
      <c r="AI91" s="5">
        <f t="shared" ref="AI91:AI151" si="17">AH91-K91</f>
        <v>-45972.800000000003</v>
      </c>
    </row>
    <row r="92" spans="1:35" ht="94.5">
      <c r="A92" s="134">
        <v>62</v>
      </c>
      <c r="B92" s="13" t="s">
        <v>162</v>
      </c>
      <c r="C92" s="106">
        <v>3699010</v>
      </c>
      <c r="D92" s="135" t="s">
        <v>58</v>
      </c>
      <c r="E92" s="13" t="s">
        <v>192</v>
      </c>
      <c r="F92" s="13">
        <v>876</v>
      </c>
      <c r="G92" s="13" t="s">
        <v>294</v>
      </c>
      <c r="H92" s="13">
        <v>1</v>
      </c>
      <c r="I92" s="144" t="s">
        <v>274</v>
      </c>
      <c r="J92" s="13" t="s">
        <v>161</v>
      </c>
      <c r="K92" s="145">
        <v>942.17</v>
      </c>
      <c r="L92" s="14" t="s">
        <v>258</v>
      </c>
      <c r="M92" s="14">
        <v>2012</v>
      </c>
      <c r="N92" s="13">
        <v>6</v>
      </c>
      <c r="O92" s="13"/>
      <c r="P92" s="71"/>
      <c r="Q92" s="71"/>
      <c r="R92" s="8" t="s">
        <v>4</v>
      </c>
      <c r="S92" s="31">
        <v>38.591720000000002</v>
      </c>
      <c r="T92" s="23">
        <f t="shared" si="13"/>
        <v>34.863500000000002</v>
      </c>
      <c r="U92" s="23">
        <f>34.8635+0</f>
        <v>34.863500000000002</v>
      </c>
      <c r="V92" s="23"/>
      <c r="W92" s="23">
        <f t="shared" si="14"/>
        <v>107.61972</v>
      </c>
      <c r="X92" s="23">
        <f>34.8635+72.75622</f>
        <v>107.61972</v>
      </c>
      <c r="Y92" s="23"/>
      <c r="Z92" s="28">
        <f t="shared" si="15"/>
        <v>72.756219999999999</v>
      </c>
      <c r="AA92" s="31">
        <f t="shared" si="11"/>
        <v>72.756219999999999</v>
      </c>
      <c r="AB92" s="28">
        <f t="shared" si="11"/>
        <v>0</v>
      </c>
      <c r="AC92" s="5">
        <f t="shared" si="12"/>
        <v>834.55027999999993</v>
      </c>
      <c r="AE92" s="5"/>
      <c r="AG92" s="5">
        <f t="shared" si="16"/>
        <v>-72.756219999999999</v>
      </c>
      <c r="AH92" s="9"/>
      <c r="AI92" s="5">
        <f t="shared" si="17"/>
        <v>-942.17</v>
      </c>
    </row>
    <row r="93" spans="1:35" ht="15.75">
      <c r="A93" s="134">
        <v>63</v>
      </c>
      <c r="B93" s="13" t="s">
        <v>162</v>
      </c>
      <c r="C93" s="106">
        <v>2101511</v>
      </c>
      <c r="D93" s="135" t="s">
        <v>59</v>
      </c>
      <c r="E93" s="13" t="s">
        <v>193</v>
      </c>
      <c r="F93" s="13">
        <v>876</v>
      </c>
      <c r="G93" s="13" t="s">
        <v>294</v>
      </c>
      <c r="H93" s="13">
        <v>1</v>
      </c>
      <c r="I93" s="144" t="s">
        <v>274</v>
      </c>
      <c r="J93" s="13" t="s">
        <v>161</v>
      </c>
      <c r="K93" s="145">
        <f>(100*2*12+500*0.5*12)*120/1000</f>
        <v>648</v>
      </c>
      <c r="L93" s="14" t="s">
        <v>258</v>
      </c>
      <c r="M93" s="14">
        <v>2012</v>
      </c>
      <c r="N93" s="13">
        <v>5</v>
      </c>
      <c r="O93" s="13"/>
      <c r="P93" s="71"/>
      <c r="Q93" s="71"/>
      <c r="R93" s="8" t="s">
        <v>4</v>
      </c>
      <c r="S93" s="31"/>
      <c r="T93" s="23">
        <f t="shared" si="13"/>
        <v>0</v>
      </c>
      <c r="U93" s="23"/>
      <c r="V93" s="23"/>
      <c r="W93" s="23">
        <f t="shared" si="14"/>
        <v>0</v>
      </c>
      <c r="X93" s="23"/>
      <c r="Y93" s="23"/>
      <c r="Z93" s="28">
        <f t="shared" si="15"/>
        <v>0</v>
      </c>
      <c r="AA93" s="31">
        <f t="shared" si="11"/>
        <v>0</v>
      </c>
      <c r="AB93" s="28">
        <f t="shared" si="11"/>
        <v>0</v>
      </c>
      <c r="AC93" s="5">
        <f t="shared" si="12"/>
        <v>648</v>
      </c>
      <c r="AE93" s="5">
        <f>K93-AC93</f>
        <v>0</v>
      </c>
      <c r="AG93" s="5">
        <f t="shared" si="16"/>
        <v>0</v>
      </c>
      <c r="AH93" s="9"/>
      <c r="AI93" s="5">
        <f t="shared" si="17"/>
        <v>-648</v>
      </c>
    </row>
    <row r="94" spans="1:35" ht="30">
      <c r="A94" s="134">
        <v>64</v>
      </c>
      <c r="B94" s="13" t="s">
        <v>162</v>
      </c>
      <c r="C94" s="106">
        <v>2200000</v>
      </c>
      <c r="D94" s="135" t="s">
        <v>83</v>
      </c>
      <c r="E94" s="13" t="s">
        <v>194</v>
      </c>
      <c r="F94" s="13">
        <v>876</v>
      </c>
      <c r="G94" s="13" t="s">
        <v>294</v>
      </c>
      <c r="H94" s="13">
        <v>1</v>
      </c>
      <c r="I94" s="144" t="s">
        <v>274</v>
      </c>
      <c r="J94" s="13" t="s">
        <v>161</v>
      </c>
      <c r="K94" s="145">
        <f>50+229+600+16.72</f>
        <v>895.72</v>
      </c>
      <c r="L94" s="14" t="s">
        <v>258</v>
      </c>
      <c r="M94" s="14">
        <v>2012</v>
      </c>
      <c r="N94" s="13">
        <v>4</v>
      </c>
      <c r="O94" s="13"/>
      <c r="P94" s="71"/>
      <c r="Q94" s="71"/>
      <c r="R94" s="8" t="s">
        <v>6</v>
      </c>
      <c r="S94" s="31">
        <v>895.71799999999996</v>
      </c>
      <c r="T94" s="23">
        <f t="shared" si="13"/>
        <v>895.71799999999996</v>
      </c>
      <c r="U94" s="23">
        <v>895.71799999999996</v>
      </c>
      <c r="V94" s="23"/>
      <c r="W94" s="23">
        <f t="shared" si="14"/>
        <v>895.71799999999996</v>
      </c>
      <c r="X94" s="23">
        <v>895.71799999999996</v>
      </c>
      <c r="Y94" s="23"/>
      <c r="Z94" s="28">
        <f t="shared" si="15"/>
        <v>0</v>
      </c>
      <c r="AA94" s="31">
        <f t="shared" si="11"/>
        <v>0</v>
      </c>
      <c r="AB94" s="28">
        <f t="shared" si="11"/>
        <v>0</v>
      </c>
      <c r="AC94" s="5">
        <f t="shared" si="12"/>
        <v>2.0000000000663931E-3</v>
      </c>
      <c r="AE94" s="5"/>
      <c r="AG94" s="5">
        <f t="shared" si="16"/>
        <v>0</v>
      </c>
      <c r="AH94" s="9">
        <f>[1]TDSheet!$J$2723</f>
        <v>895.72</v>
      </c>
      <c r="AI94" s="5">
        <f t="shared" si="17"/>
        <v>0</v>
      </c>
    </row>
    <row r="95" spans="1:35" ht="15.75">
      <c r="A95" s="134">
        <v>65</v>
      </c>
      <c r="B95" s="13" t="s">
        <v>162</v>
      </c>
      <c r="C95" s="106">
        <v>7523040</v>
      </c>
      <c r="D95" s="135" t="s">
        <v>131</v>
      </c>
      <c r="E95" s="13" t="s">
        <v>195</v>
      </c>
      <c r="F95" s="13">
        <v>876</v>
      </c>
      <c r="G95" s="13" t="s">
        <v>294</v>
      </c>
      <c r="H95" s="13">
        <v>1</v>
      </c>
      <c r="I95" s="144" t="s">
        <v>274</v>
      </c>
      <c r="J95" s="13" t="s">
        <v>161</v>
      </c>
      <c r="K95" s="145">
        <f>284.62+41.8</f>
        <v>326.42</v>
      </c>
      <c r="L95" s="14" t="s">
        <v>258</v>
      </c>
      <c r="M95" s="14">
        <v>2012</v>
      </c>
      <c r="N95" s="13">
        <v>4</v>
      </c>
      <c r="O95" s="13"/>
      <c r="P95" s="71"/>
      <c r="Q95" s="71"/>
      <c r="R95" s="8" t="s">
        <v>6</v>
      </c>
      <c r="S95" s="31"/>
      <c r="T95" s="23">
        <f t="shared" si="13"/>
        <v>0</v>
      </c>
      <c r="U95" s="23">
        <v>0</v>
      </c>
      <c r="V95" s="23"/>
      <c r="W95" s="23">
        <f t="shared" si="14"/>
        <v>148.20832999999999</v>
      </c>
      <c r="X95" s="23">
        <v>148.20832999999999</v>
      </c>
      <c r="Y95" s="23"/>
      <c r="Z95" s="28">
        <f t="shared" si="15"/>
        <v>148.20832999999999</v>
      </c>
      <c r="AA95" s="31">
        <f t="shared" si="11"/>
        <v>148.20832999999999</v>
      </c>
      <c r="AB95" s="28">
        <f t="shared" si="11"/>
        <v>0</v>
      </c>
      <c r="AC95" s="5">
        <f t="shared" si="12"/>
        <v>178.21167000000003</v>
      </c>
      <c r="AE95" s="5"/>
      <c r="AG95" s="5">
        <f t="shared" si="16"/>
        <v>-148.20832999999999</v>
      </c>
      <c r="AH95" s="9">
        <f>[1]TDSheet!$J$2721-[1]TDSheet!$J$2723</f>
        <v>326.42000000000007</v>
      </c>
      <c r="AI95" s="5">
        <f t="shared" si="17"/>
        <v>0</v>
      </c>
    </row>
    <row r="96" spans="1:35" ht="15.75">
      <c r="A96" s="134">
        <v>66</v>
      </c>
      <c r="B96" s="13" t="s">
        <v>162</v>
      </c>
      <c r="C96" s="106">
        <v>7523040</v>
      </c>
      <c r="D96" s="135" t="s">
        <v>132</v>
      </c>
      <c r="E96" s="13" t="s">
        <v>195</v>
      </c>
      <c r="F96" s="13">
        <v>876</v>
      </c>
      <c r="G96" s="13" t="s">
        <v>294</v>
      </c>
      <c r="H96" s="13">
        <v>1</v>
      </c>
      <c r="I96" s="144" t="s">
        <v>274</v>
      </c>
      <c r="J96" s="13" t="s">
        <v>161</v>
      </c>
      <c r="K96" s="145">
        <v>60</v>
      </c>
      <c r="L96" s="14" t="s">
        <v>258</v>
      </c>
      <c r="M96" s="14">
        <v>2012</v>
      </c>
      <c r="N96" s="13">
        <v>4</v>
      </c>
      <c r="O96" s="13"/>
      <c r="P96" s="71"/>
      <c r="Q96" s="71"/>
      <c r="R96" s="8" t="s">
        <v>6</v>
      </c>
      <c r="S96" s="31">
        <v>0</v>
      </c>
      <c r="T96" s="23">
        <f t="shared" si="13"/>
        <v>0</v>
      </c>
      <c r="U96" s="23">
        <v>0</v>
      </c>
      <c r="V96" s="23"/>
      <c r="W96" s="23">
        <f t="shared" si="14"/>
        <v>30</v>
      </c>
      <c r="X96" s="23">
        <v>30</v>
      </c>
      <c r="Y96" s="23"/>
      <c r="Z96" s="28">
        <f t="shared" si="15"/>
        <v>30</v>
      </c>
      <c r="AA96" s="31">
        <f t="shared" si="11"/>
        <v>30</v>
      </c>
      <c r="AB96" s="28">
        <f t="shared" si="11"/>
        <v>0</v>
      </c>
      <c r="AC96" s="5">
        <f t="shared" si="12"/>
        <v>30</v>
      </c>
      <c r="AE96" s="5"/>
      <c r="AG96" s="5">
        <f t="shared" si="16"/>
        <v>-30</v>
      </c>
      <c r="AH96" s="9"/>
      <c r="AI96" s="5">
        <f t="shared" si="17"/>
        <v>-60</v>
      </c>
    </row>
    <row r="97" spans="1:35" ht="31.5">
      <c r="A97" s="134">
        <v>67</v>
      </c>
      <c r="B97" s="13" t="s">
        <v>162</v>
      </c>
      <c r="C97" s="106">
        <v>1540000</v>
      </c>
      <c r="D97" s="158" t="s">
        <v>60</v>
      </c>
      <c r="E97" s="13" t="s">
        <v>196</v>
      </c>
      <c r="F97" s="13">
        <v>876</v>
      </c>
      <c r="G97" s="13" t="s">
        <v>294</v>
      </c>
      <c r="H97" s="13">
        <v>1</v>
      </c>
      <c r="I97" s="144" t="s">
        <v>274</v>
      </c>
      <c r="J97" s="13" t="s">
        <v>161</v>
      </c>
      <c r="K97" s="145">
        <f>5115.43+10884.57</f>
        <v>16000</v>
      </c>
      <c r="L97" s="14" t="s">
        <v>258</v>
      </c>
      <c r="M97" s="14">
        <v>2012</v>
      </c>
      <c r="N97" s="13">
        <v>3</v>
      </c>
      <c r="O97" s="13"/>
      <c r="P97" s="71"/>
      <c r="Q97" s="71"/>
      <c r="R97" s="8" t="s">
        <v>4</v>
      </c>
      <c r="S97" s="31">
        <f>1776.087</f>
        <v>1776.087</v>
      </c>
      <c r="T97" s="23">
        <f t="shared" si="13"/>
        <v>914.36199999999997</v>
      </c>
      <c r="U97" s="23">
        <v>914.36199999999997</v>
      </c>
      <c r="V97" s="23"/>
      <c r="W97" s="23">
        <f t="shared" si="14"/>
        <v>2633.817</v>
      </c>
      <c r="X97" s="23">
        <v>2633.817</v>
      </c>
      <c r="Y97" s="23"/>
      <c r="Z97" s="28">
        <f t="shared" si="15"/>
        <v>1719.4549999999999</v>
      </c>
      <c r="AA97" s="31">
        <f t="shared" si="11"/>
        <v>1719.4549999999999</v>
      </c>
      <c r="AB97" s="28">
        <f t="shared" si="11"/>
        <v>0</v>
      </c>
      <c r="AC97" s="5">
        <f t="shared" si="12"/>
        <v>13366.183000000001</v>
      </c>
      <c r="AE97" s="5"/>
      <c r="AG97" s="5">
        <f t="shared" si="16"/>
        <v>-1719.4549999999999</v>
      </c>
      <c r="AH97" s="9"/>
      <c r="AI97" s="5">
        <f t="shared" si="17"/>
        <v>-16000</v>
      </c>
    </row>
    <row r="98" spans="1:35" ht="15.75">
      <c r="A98" s="134">
        <v>68</v>
      </c>
      <c r="B98" s="13" t="s">
        <v>162</v>
      </c>
      <c r="C98" s="106">
        <v>1800000</v>
      </c>
      <c r="D98" s="158" t="s">
        <v>61</v>
      </c>
      <c r="E98" s="13" t="s">
        <v>197</v>
      </c>
      <c r="F98" s="13">
        <v>876</v>
      </c>
      <c r="G98" s="13" t="s">
        <v>294</v>
      </c>
      <c r="H98" s="13">
        <v>1</v>
      </c>
      <c r="I98" s="144" t="s">
        <v>274</v>
      </c>
      <c r="J98" s="13" t="s">
        <v>161</v>
      </c>
      <c r="K98" s="145">
        <v>2800</v>
      </c>
      <c r="L98" s="14" t="s">
        <v>258</v>
      </c>
      <c r="M98" s="14">
        <v>2012</v>
      </c>
      <c r="N98" s="13">
        <v>5</v>
      </c>
      <c r="O98" s="13"/>
      <c r="P98" s="71"/>
      <c r="Q98" s="71"/>
      <c r="R98" s="8" t="s">
        <v>4</v>
      </c>
      <c r="S98" s="31">
        <v>1517.29493</v>
      </c>
      <c r="T98" s="23">
        <f t="shared" si="13"/>
        <v>1514.4949300000001</v>
      </c>
      <c r="U98" s="23">
        <v>1514.4949300000001</v>
      </c>
      <c r="V98" s="23"/>
      <c r="W98" s="23">
        <f t="shared" si="14"/>
        <v>1964.93373</v>
      </c>
      <c r="X98" s="23">
        <v>1964.93373</v>
      </c>
      <c r="Y98" s="23"/>
      <c r="Z98" s="28">
        <f t="shared" si="15"/>
        <v>450.4387999999999</v>
      </c>
      <c r="AA98" s="31">
        <f t="shared" si="11"/>
        <v>450.4387999999999</v>
      </c>
      <c r="AB98" s="28">
        <f t="shared" si="11"/>
        <v>0</v>
      </c>
      <c r="AC98" s="5">
        <f t="shared" si="12"/>
        <v>835.06627000000003</v>
      </c>
      <c r="AE98" s="5"/>
      <c r="AG98" s="5">
        <f t="shared" si="16"/>
        <v>-450.4387999999999</v>
      </c>
      <c r="AH98" s="9">
        <f>[1]TDSheet!$J$4321</f>
        <v>2136.94</v>
      </c>
      <c r="AI98" s="5">
        <f t="shared" si="17"/>
        <v>-663.06</v>
      </c>
    </row>
    <row r="99" spans="1:35" ht="15.75">
      <c r="A99" s="134">
        <v>69</v>
      </c>
      <c r="B99" s="13" t="s">
        <v>162</v>
      </c>
      <c r="C99" s="106">
        <v>2423961</v>
      </c>
      <c r="D99" s="158" t="s">
        <v>62</v>
      </c>
      <c r="E99" s="13"/>
      <c r="F99" s="13">
        <v>876</v>
      </c>
      <c r="G99" s="13" t="s">
        <v>294</v>
      </c>
      <c r="H99" s="13">
        <v>1</v>
      </c>
      <c r="I99" s="144" t="s">
        <v>274</v>
      </c>
      <c r="J99" s="13" t="s">
        <v>161</v>
      </c>
      <c r="K99" s="145">
        <v>215.42</v>
      </c>
      <c r="L99" s="14" t="s">
        <v>258</v>
      </c>
      <c r="M99" s="14">
        <v>2012</v>
      </c>
      <c r="N99" s="13">
        <v>5</v>
      </c>
      <c r="O99" s="13"/>
      <c r="P99" s="71"/>
      <c r="Q99" s="71"/>
      <c r="R99" s="8" t="s">
        <v>4</v>
      </c>
      <c r="S99" s="31">
        <v>56.717010000000002</v>
      </c>
      <c r="T99" s="23">
        <f t="shared" si="13"/>
        <v>56.717010000000002</v>
      </c>
      <c r="U99" s="23">
        <v>56.717010000000002</v>
      </c>
      <c r="V99" s="23"/>
      <c r="W99" s="23">
        <f t="shared" si="14"/>
        <v>56.717010000000002</v>
      </c>
      <c r="X99" s="23">
        <v>56.717010000000002</v>
      </c>
      <c r="Y99" s="23"/>
      <c r="Z99" s="28">
        <f t="shared" si="15"/>
        <v>0</v>
      </c>
      <c r="AA99" s="31">
        <f t="shared" si="11"/>
        <v>0</v>
      </c>
      <c r="AB99" s="28">
        <f t="shared" si="11"/>
        <v>0</v>
      </c>
      <c r="AC99" s="5">
        <f t="shared" si="12"/>
        <v>158.70299</v>
      </c>
      <c r="AE99" s="5"/>
      <c r="AG99" s="5">
        <f t="shared" si="16"/>
        <v>0</v>
      </c>
      <c r="AH99" s="9"/>
      <c r="AI99" s="5">
        <f t="shared" si="17"/>
        <v>-215.42</v>
      </c>
    </row>
    <row r="100" spans="1:35" ht="31.5">
      <c r="A100" s="134">
        <v>70</v>
      </c>
      <c r="B100" s="13" t="s">
        <v>162</v>
      </c>
      <c r="C100" s="106">
        <v>2421720</v>
      </c>
      <c r="D100" s="158" t="s">
        <v>63</v>
      </c>
      <c r="E100" s="13" t="s">
        <v>182</v>
      </c>
      <c r="F100" s="13">
        <v>876</v>
      </c>
      <c r="G100" s="13" t="s">
        <v>294</v>
      </c>
      <c r="H100" s="13">
        <v>1</v>
      </c>
      <c r="I100" s="144" t="s">
        <v>274</v>
      </c>
      <c r="J100" s="13" t="s">
        <v>161</v>
      </c>
      <c r="K100" s="145">
        <v>263.92</v>
      </c>
      <c r="L100" s="14" t="s">
        <v>258</v>
      </c>
      <c r="M100" s="14">
        <v>2012</v>
      </c>
      <c r="N100" s="13">
        <v>6</v>
      </c>
      <c r="O100" s="13"/>
      <c r="P100" s="71"/>
      <c r="Q100" s="71"/>
      <c r="R100" s="8" t="s">
        <v>4</v>
      </c>
      <c r="S100" s="31"/>
      <c r="T100" s="23">
        <f t="shared" si="13"/>
        <v>0</v>
      </c>
      <c r="U100" s="23"/>
      <c r="V100" s="23"/>
      <c r="W100" s="23">
        <f t="shared" si="14"/>
        <v>0</v>
      </c>
      <c r="X100" s="23"/>
      <c r="Y100" s="23"/>
      <c r="Z100" s="28">
        <f t="shared" si="15"/>
        <v>0</v>
      </c>
      <c r="AA100" s="31">
        <f t="shared" si="11"/>
        <v>0</v>
      </c>
      <c r="AB100" s="28">
        <f t="shared" si="11"/>
        <v>0</v>
      </c>
      <c r="AC100" s="5">
        <f t="shared" si="12"/>
        <v>263.92</v>
      </c>
      <c r="AE100" s="5">
        <f>K100-AC100</f>
        <v>0</v>
      </c>
      <c r="AG100" s="5">
        <f t="shared" si="16"/>
        <v>0</v>
      </c>
      <c r="AH100" s="9"/>
      <c r="AI100" s="5">
        <f t="shared" si="17"/>
        <v>-263.92</v>
      </c>
    </row>
    <row r="101" spans="1:35" ht="15.75">
      <c r="A101" s="134">
        <v>71</v>
      </c>
      <c r="B101" s="13" t="s">
        <v>162</v>
      </c>
      <c r="C101" s="106">
        <v>2200000</v>
      </c>
      <c r="D101" s="158" t="s">
        <v>64</v>
      </c>
      <c r="E101" s="13"/>
      <c r="F101" s="13">
        <v>876</v>
      </c>
      <c r="G101" s="13" t="s">
        <v>294</v>
      </c>
      <c r="H101" s="13">
        <v>1</v>
      </c>
      <c r="I101" s="144" t="s">
        <v>274</v>
      </c>
      <c r="J101" s="13" t="s">
        <v>161</v>
      </c>
      <c r="K101" s="145">
        <f>55*5*1.2</f>
        <v>330</v>
      </c>
      <c r="L101" s="14" t="s">
        <v>258</v>
      </c>
      <c r="M101" s="14">
        <v>2012</v>
      </c>
      <c r="N101" s="13">
        <v>6</v>
      </c>
      <c r="O101" s="13"/>
      <c r="P101" s="71"/>
      <c r="Q101" s="71"/>
      <c r="R101" s="8" t="s">
        <v>4</v>
      </c>
      <c r="S101" s="31">
        <v>16</v>
      </c>
      <c r="T101" s="23">
        <f t="shared" si="13"/>
        <v>0</v>
      </c>
      <c r="U101" s="23">
        <v>0</v>
      </c>
      <c r="V101" s="23"/>
      <c r="W101" s="23">
        <f t="shared" si="14"/>
        <v>16</v>
      </c>
      <c r="X101" s="23">
        <v>16</v>
      </c>
      <c r="Y101" s="23"/>
      <c r="Z101" s="28">
        <f t="shared" si="15"/>
        <v>16</v>
      </c>
      <c r="AA101" s="31">
        <f t="shared" si="11"/>
        <v>16</v>
      </c>
      <c r="AB101" s="28">
        <f t="shared" si="11"/>
        <v>0</v>
      </c>
      <c r="AC101" s="5">
        <f t="shared" si="12"/>
        <v>314</v>
      </c>
      <c r="AE101" s="5"/>
      <c r="AG101" s="5">
        <f t="shared" si="16"/>
        <v>-16</v>
      </c>
      <c r="AH101" s="9"/>
      <c r="AI101" s="5">
        <f t="shared" si="17"/>
        <v>-330</v>
      </c>
    </row>
    <row r="102" spans="1:35" ht="15.75">
      <c r="A102" s="134">
        <v>72</v>
      </c>
      <c r="B102" s="13" t="s">
        <v>162</v>
      </c>
      <c r="C102" s="106">
        <v>2200000</v>
      </c>
      <c r="D102" s="135" t="s">
        <v>65</v>
      </c>
      <c r="E102" s="13"/>
      <c r="F102" s="13">
        <v>876</v>
      </c>
      <c r="G102" s="13" t="s">
        <v>294</v>
      </c>
      <c r="H102" s="13">
        <v>1</v>
      </c>
      <c r="I102" s="144" t="s">
        <v>274</v>
      </c>
      <c r="J102" s="13" t="s">
        <v>161</v>
      </c>
      <c r="K102" s="145">
        <v>200</v>
      </c>
      <c r="L102" s="14" t="s">
        <v>258</v>
      </c>
      <c r="M102" s="14">
        <v>2012</v>
      </c>
      <c r="N102" s="13">
        <v>6</v>
      </c>
      <c r="O102" s="13"/>
      <c r="P102" s="71"/>
      <c r="Q102" s="71"/>
      <c r="R102" s="8" t="s">
        <v>6</v>
      </c>
      <c r="S102" s="31">
        <v>65.186999999999998</v>
      </c>
      <c r="T102" s="23">
        <f t="shared" si="13"/>
        <v>65.186999999999998</v>
      </c>
      <c r="U102" s="23">
        <v>65.186999999999998</v>
      </c>
      <c r="V102" s="23"/>
      <c r="W102" s="23">
        <f t="shared" si="14"/>
        <v>112.29075</v>
      </c>
      <c r="X102" s="23">
        <v>112.29075</v>
      </c>
      <c r="Y102" s="23"/>
      <c r="Z102" s="28">
        <f t="shared" si="15"/>
        <v>47.103750000000005</v>
      </c>
      <c r="AA102" s="31">
        <f t="shared" si="11"/>
        <v>47.103750000000005</v>
      </c>
      <c r="AB102" s="28">
        <f t="shared" si="11"/>
        <v>0</v>
      </c>
      <c r="AC102" s="5">
        <f t="shared" si="12"/>
        <v>87.709249999999997</v>
      </c>
      <c r="AE102" s="5"/>
      <c r="AG102" s="5">
        <f t="shared" si="16"/>
        <v>-47.103750000000005</v>
      </c>
      <c r="AH102" s="9"/>
      <c r="AI102" s="5">
        <f t="shared" si="17"/>
        <v>-200</v>
      </c>
    </row>
    <row r="103" spans="1:35" ht="15.75">
      <c r="A103" s="134">
        <v>73</v>
      </c>
      <c r="B103" s="13" t="s">
        <v>162</v>
      </c>
      <c r="C103" s="106">
        <v>4110100</v>
      </c>
      <c r="D103" s="158" t="s">
        <v>66</v>
      </c>
      <c r="E103" s="13" t="s">
        <v>198</v>
      </c>
      <c r="F103" s="13">
        <v>876</v>
      </c>
      <c r="G103" s="13" t="s">
        <v>294</v>
      </c>
      <c r="H103" s="13">
        <v>1</v>
      </c>
      <c r="I103" s="144" t="s">
        <v>274</v>
      </c>
      <c r="J103" s="13" t="s">
        <v>161</v>
      </c>
      <c r="K103" s="145">
        <f>100*12*140*1.3/1000</f>
        <v>218.4</v>
      </c>
      <c r="L103" s="14" t="s">
        <v>258</v>
      </c>
      <c r="M103" s="14">
        <v>2012</v>
      </c>
      <c r="N103" s="13">
        <v>6</v>
      </c>
      <c r="O103" s="13"/>
      <c r="P103" s="71"/>
      <c r="Q103" s="71"/>
      <c r="R103" s="8" t="s">
        <v>6</v>
      </c>
      <c r="S103" s="31">
        <v>7.63</v>
      </c>
      <c r="T103" s="23">
        <f t="shared" si="13"/>
        <v>7.05</v>
      </c>
      <c r="U103" s="23">
        <v>7.05</v>
      </c>
      <c r="V103" s="23"/>
      <c r="W103" s="23">
        <f t="shared" si="14"/>
        <v>7.63</v>
      </c>
      <c r="X103" s="23">
        <v>7.63</v>
      </c>
      <c r="Y103" s="23"/>
      <c r="Z103" s="28">
        <f t="shared" si="15"/>
        <v>0.58000000000000007</v>
      </c>
      <c r="AA103" s="31">
        <f t="shared" si="11"/>
        <v>0.58000000000000007</v>
      </c>
      <c r="AB103" s="28">
        <f t="shared" si="11"/>
        <v>0</v>
      </c>
      <c r="AC103" s="5">
        <f t="shared" si="12"/>
        <v>210.77</v>
      </c>
      <c r="AE103" s="5"/>
      <c r="AG103" s="5">
        <f t="shared" si="16"/>
        <v>-0.58000000000000007</v>
      </c>
      <c r="AH103" s="9"/>
      <c r="AI103" s="5">
        <f t="shared" si="17"/>
        <v>-218.4</v>
      </c>
    </row>
    <row r="104" spans="1:35" ht="15.75">
      <c r="A104" s="134">
        <v>74</v>
      </c>
      <c r="B104" s="13" t="s">
        <v>162</v>
      </c>
      <c r="C104" s="106">
        <v>9319000</v>
      </c>
      <c r="D104" s="158" t="s">
        <v>96</v>
      </c>
      <c r="E104" s="13"/>
      <c r="F104" s="13">
        <v>876</v>
      </c>
      <c r="G104" s="13" t="s">
        <v>294</v>
      </c>
      <c r="H104" s="13">
        <v>1</v>
      </c>
      <c r="I104" s="144" t="s">
        <v>274</v>
      </c>
      <c r="J104" s="13" t="s">
        <v>161</v>
      </c>
      <c r="K104" s="145">
        <f>S104</f>
        <v>9.93</v>
      </c>
      <c r="L104" s="14" t="s">
        <v>258</v>
      </c>
      <c r="M104" s="14">
        <v>2012</v>
      </c>
      <c r="N104" s="13">
        <v>6</v>
      </c>
      <c r="O104" s="13"/>
      <c r="P104" s="71"/>
      <c r="Q104" s="71"/>
      <c r="R104" s="8" t="s">
        <v>6</v>
      </c>
      <c r="S104" s="80">
        <v>9.93</v>
      </c>
      <c r="T104" s="26">
        <f t="shared" si="13"/>
        <v>9.41</v>
      </c>
      <c r="U104" s="26">
        <v>0</v>
      </c>
      <c r="V104" s="26">
        <v>9.41</v>
      </c>
      <c r="W104" s="26">
        <f t="shared" si="14"/>
        <v>19.34</v>
      </c>
      <c r="X104" s="26">
        <v>9.93</v>
      </c>
      <c r="Y104" s="26">
        <v>9.41</v>
      </c>
      <c r="Z104" s="28">
        <f t="shared" si="15"/>
        <v>9.93</v>
      </c>
      <c r="AA104" s="31">
        <f t="shared" si="11"/>
        <v>9.93</v>
      </c>
      <c r="AB104" s="28">
        <f t="shared" si="11"/>
        <v>0</v>
      </c>
      <c r="AC104" s="5">
        <f t="shared" si="12"/>
        <v>0</v>
      </c>
      <c r="AE104" s="5"/>
      <c r="AG104" s="5">
        <f t="shared" si="16"/>
        <v>-9.93</v>
      </c>
      <c r="AH104" s="10"/>
      <c r="AI104" s="5">
        <f t="shared" si="17"/>
        <v>-9.93</v>
      </c>
    </row>
    <row r="105" spans="1:35" ht="15.75">
      <c r="A105" s="134">
        <v>75</v>
      </c>
      <c r="B105" s="13" t="s">
        <v>162</v>
      </c>
      <c r="C105" s="106">
        <v>7200000</v>
      </c>
      <c r="D105" s="158" t="s">
        <v>97</v>
      </c>
      <c r="E105" s="13"/>
      <c r="F105" s="13">
        <v>876</v>
      </c>
      <c r="G105" s="13" t="s">
        <v>294</v>
      </c>
      <c r="H105" s="13">
        <v>1</v>
      </c>
      <c r="I105" s="144" t="s">
        <v>274</v>
      </c>
      <c r="J105" s="13" t="s">
        <v>161</v>
      </c>
      <c r="K105" s="145">
        <f>S105</f>
        <v>6.58</v>
      </c>
      <c r="L105" s="14" t="s">
        <v>258</v>
      </c>
      <c r="M105" s="14">
        <v>2012</v>
      </c>
      <c r="N105" s="13">
        <v>6</v>
      </c>
      <c r="O105" s="13"/>
      <c r="P105" s="71"/>
      <c r="Q105" s="71"/>
      <c r="R105" s="8" t="s">
        <v>6</v>
      </c>
      <c r="S105" s="80">
        <v>6.58</v>
      </c>
      <c r="T105" s="26">
        <f t="shared" si="13"/>
        <v>0</v>
      </c>
      <c r="U105" s="26"/>
      <c r="V105" s="26"/>
      <c r="W105" s="26">
        <f t="shared" si="14"/>
        <v>0</v>
      </c>
      <c r="X105" s="26"/>
      <c r="Y105" s="26"/>
      <c r="Z105" s="28">
        <f t="shared" si="15"/>
        <v>0</v>
      </c>
      <c r="AA105" s="31">
        <f t="shared" si="11"/>
        <v>0</v>
      </c>
      <c r="AB105" s="28">
        <f t="shared" si="11"/>
        <v>0</v>
      </c>
      <c r="AC105" s="5">
        <f t="shared" si="12"/>
        <v>6.58</v>
      </c>
      <c r="AE105" s="5">
        <f>K105-AC105</f>
        <v>0</v>
      </c>
      <c r="AG105" s="5">
        <f t="shared" si="16"/>
        <v>0</v>
      </c>
      <c r="AH105" s="10"/>
      <c r="AI105" s="5">
        <f t="shared" si="17"/>
        <v>-6.58</v>
      </c>
    </row>
    <row r="106" spans="1:35" ht="15.75">
      <c r="A106" s="134">
        <v>76</v>
      </c>
      <c r="B106" s="13" t="s">
        <v>162</v>
      </c>
      <c r="C106" s="106">
        <v>7523040</v>
      </c>
      <c r="D106" s="158" t="s">
        <v>98</v>
      </c>
      <c r="E106" s="13" t="s">
        <v>199</v>
      </c>
      <c r="F106" s="13">
        <v>876</v>
      </c>
      <c r="G106" s="13" t="s">
        <v>294</v>
      </c>
      <c r="H106" s="13">
        <v>1</v>
      </c>
      <c r="I106" s="144" t="s">
        <v>274</v>
      </c>
      <c r="J106" s="13" t="s">
        <v>161</v>
      </c>
      <c r="K106" s="145">
        <v>30</v>
      </c>
      <c r="L106" s="14" t="s">
        <v>258</v>
      </c>
      <c r="M106" s="14">
        <v>2012</v>
      </c>
      <c r="N106" s="13">
        <v>6</v>
      </c>
      <c r="O106" s="13"/>
      <c r="P106" s="71"/>
      <c r="Q106" s="71"/>
      <c r="R106" s="8" t="s">
        <v>4</v>
      </c>
      <c r="S106" s="80">
        <v>6</v>
      </c>
      <c r="T106" s="26">
        <f t="shared" si="13"/>
        <v>3</v>
      </c>
      <c r="U106" s="26">
        <v>3</v>
      </c>
      <c r="V106" s="26"/>
      <c r="W106" s="26">
        <f t="shared" si="14"/>
        <v>7.5</v>
      </c>
      <c r="X106" s="26">
        <v>7.5</v>
      </c>
      <c r="Y106" s="26"/>
      <c r="Z106" s="28">
        <f t="shared" si="15"/>
        <v>4.5</v>
      </c>
      <c r="AA106" s="31">
        <f t="shared" si="11"/>
        <v>4.5</v>
      </c>
      <c r="AB106" s="28">
        <f t="shared" si="11"/>
        <v>0</v>
      </c>
      <c r="AC106" s="5">
        <f t="shared" si="12"/>
        <v>22.5</v>
      </c>
      <c r="AE106" s="5"/>
      <c r="AG106" s="5">
        <f t="shared" si="16"/>
        <v>-4.5</v>
      </c>
      <c r="AH106" s="10"/>
      <c r="AI106" s="5">
        <f t="shared" si="17"/>
        <v>-30</v>
      </c>
    </row>
    <row r="107" spans="1:35" ht="15.75">
      <c r="A107" s="134">
        <v>77</v>
      </c>
      <c r="B107" s="13" t="s">
        <v>162</v>
      </c>
      <c r="C107" s="106">
        <v>5520010</v>
      </c>
      <c r="D107" s="158" t="s">
        <v>99</v>
      </c>
      <c r="E107" s="13" t="s">
        <v>200</v>
      </c>
      <c r="F107" s="13">
        <v>876</v>
      </c>
      <c r="G107" s="13" t="s">
        <v>294</v>
      </c>
      <c r="H107" s="13">
        <v>1</v>
      </c>
      <c r="I107" s="144" t="s">
        <v>274</v>
      </c>
      <c r="J107" s="13" t="s">
        <v>161</v>
      </c>
      <c r="K107" s="145">
        <f>S107</f>
        <v>85</v>
      </c>
      <c r="L107" s="14" t="s">
        <v>258</v>
      </c>
      <c r="M107" s="14">
        <v>2012</v>
      </c>
      <c r="N107" s="13">
        <v>6</v>
      </c>
      <c r="O107" s="13"/>
      <c r="P107" s="71"/>
      <c r="Q107" s="71"/>
      <c r="R107" s="8" t="s">
        <v>6</v>
      </c>
      <c r="S107" s="80">
        <v>85</v>
      </c>
      <c r="T107" s="26">
        <f t="shared" si="13"/>
        <v>85</v>
      </c>
      <c r="U107" s="26">
        <v>85</v>
      </c>
      <c r="V107" s="26"/>
      <c r="W107" s="26">
        <f t="shared" si="14"/>
        <v>85</v>
      </c>
      <c r="X107" s="26">
        <v>85</v>
      </c>
      <c r="Y107" s="26"/>
      <c r="Z107" s="28">
        <f t="shared" si="15"/>
        <v>0</v>
      </c>
      <c r="AA107" s="31">
        <f t="shared" si="11"/>
        <v>0</v>
      </c>
      <c r="AB107" s="28">
        <f t="shared" si="11"/>
        <v>0</v>
      </c>
      <c r="AC107" s="5">
        <f t="shared" si="12"/>
        <v>0</v>
      </c>
      <c r="AE107" s="5"/>
      <c r="AG107" s="5">
        <f t="shared" si="16"/>
        <v>0</v>
      </c>
      <c r="AH107" s="10"/>
      <c r="AI107" s="5">
        <f t="shared" si="17"/>
        <v>-85</v>
      </c>
    </row>
    <row r="108" spans="1:35" ht="47.25">
      <c r="A108" s="134">
        <v>78</v>
      </c>
      <c r="B108" s="13" t="s">
        <v>162</v>
      </c>
      <c r="C108" s="106">
        <v>4530019</v>
      </c>
      <c r="D108" s="158" t="s">
        <v>100</v>
      </c>
      <c r="E108" s="13" t="s">
        <v>201</v>
      </c>
      <c r="F108" s="13">
        <v>876</v>
      </c>
      <c r="G108" s="13" t="s">
        <v>294</v>
      </c>
      <c r="H108" s="13">
        <v>1</v>
      </c>
      <c r="I108" s="144" t="s">
        <v>274</v>
      </c>
      <c r="J108" s="13" t="s">
        <v>161</v>
      </c>
      <c r="K108" s="145">
        <f>S108</f>
        <v>12.85</v>
      </c>
      <c r="L108" s="14" t="s">
        <v>258</v>
      </c>
      <c r="M108" s="14">
        <v>2012</v>
      </c>
      <c r="N108" s="13">
        <v>6</v>
      </c>
      <c r="O108" s="13"/>
      <c r="P108" s="71"/>
      <c r="Q108" s="71"/>
      <c r="R108" s="8" t="s">
        <v>6</v>
      </c>
      <c r="S108" s="80">
        <v>12.85</v>
      </c>
      <c r="T108" s="26">
        <f t="shared" si="13"/>
        <v>12.85</v>
      </c>
      <c r="U108" s="26">
        <v>12.85</v>
      </c>
      <c r="V108" s="26"/>
      <c r="W108" s="26">
        <f t="shared" si="14"/>
        <v>12.85</v>
      </c>
      <c r="X108" s="26">
        <v>12.85</v>
      </c>
      <c r="Y108" s="26"/>
      <c r="Z108" s="28">
        <f t="shared" si="15"/>
        <v>0</v>
      </c>
      <c r="AA108" s="31">
        <f t="shared" si="11"/>
        <v>0</v>
      </c>
      <c r="AB108" s="28">
        <f t="shared" si="11"/>
        <v>0</v>
      </c>
      <c r="AC108" s="5">
        <f t="shared" si="12"/>
        <v>0</v>
      </c>
      <c r="AE108" s="5"/>
      <c r="AG108" s="5">
        <f t="shared" si="16"/>
        <v>0</v>
      </c>
      <c r="AH108" s="10"/>
      <c r="AI108" s="5">
        <f t="shared" si="17"/>
        <v>-12.85</v>
      </c>
    </row>
    <row r="109" spans="1:35" ht="21.75" customHeight="1">
      <c r="A109" s="134">
        <v>79</v>
      </c>
      <c r="B109" s="13" t="s">
        <v>162</v>
      </c>
      <c r="C109" s="106">
        <v>7250030</v>
      </c>
      <c r="D109" s="158" t="s">
        <v>268</v>
      </c>
      <c r="E109" s="13" t="s">
        <v>202</v>
      </c>
      <c r="F109" s="13">
        <v>876</v>
      </c>
      <c r="G109" s="13" t="s">
        <v>294</v>
      </c>
      <c r="H109" s="13">
        <v>1</v>
      </c>
      <c r="I109" s="144" t="s">
        <v>274</v>
      </c>
      <c r="J109" s="13" t="s">
        <v>161</v>
      </c>
      <c r="K109" s="145">
        <v>180</v>
      </c>
      <c r="L109" s="14" t="s">
        <v>258</v>
      </c>
      <c r="M109" s="14">
        <v>2012</v>
      </c>
      <c r="N109" s="13">
        <v>6</v>
      </c>
      <c r="O109" s="13"/>
      <c r="P109" s="71"/>
      <c r="Q109" s="71"/>
      <c r="R109" s="8" t="s">
        <v>4</v>
      </c>
      <c r="S109" s="80">
        <v>22.6</v>
      </c>
      <c r="T109" s="26">
        <f t="shared" si="13"/>
        <v>22.900000000000002</v>
      </c>
      <c r="U109" s="26">
        <v>22.6</v>
      </c>
      <c r="V109" s="26">
        <v>0.3</v>
      </c>
      <c r="W109" s="26">
        <f t="shared" si="14"/>
        <v>34.760000000000005</v>
      </c>
      <c r="X109" s="26">
        <v>33.92</v>
      </c>
      <c r="Y109" s="26">
        <v>0.84</v>
      </c>
      <c r="Z109" s="28">
        <f t="shared" si="15"/>
        <v>11.86</v>
      </c>
      <c r="AA109" s="31">
        <f t="shared" si="11"/>
        <v>11.32</v>
      </c>
      <c r="AB109" s="28">
        <f t="shared" si="11"/>
        <v>0.54</v>
      </c>
      <c r="AC109" s="5">
        <f t="shared" si="12"/>
        <v>146.07999999999998</v>
      </c>
      <c r="AE109" s="5"/>
      <c r="AG109" s="5">
        <f t="shared" si="16"/>
        <v>-11.32</v>
      </c>
      <c r="AH109" s="10">
        <f>[1]TDSheet!$J$2771</f>
        <v>148.09</v>
      </c>
      <c r="AI109" s="5">
        <f t="shared" si="17"/>
        <v>-31.909999999999997</v>
      </c>
    </row>
    <row r="110" spans="1:35" ht="47.25">
      <c r="A110" s="134">
        <v>80</v>
      </c>
      <c r="B110" s="13" t="s">
        <v>162</v>
      </c>
      <c r="C110" s="106">
        <v>7499090</v>
      </c>
      <c r="D110" s="158" t="s">
        <v>101</v>
      </c>
      <c r="E110" s="13" t="s">
        <v>203</v>
      </c>
      <c r="F110" s="13">
        <v>876</v>
      </c>
      <c r="G110" s="13" t="s">
        <v>294</v>
      </c>
      <c r="H110" s="13">
        <v>1</v>
      </c>
      <c r="I110" s="144" t="s">
        <v>274</v>
      </c>
      <c r="J110" s="13" t="s">
        <v>161</v>
      </c>
      <c r="K110" s="145">
        <v>65</v>
      </c>
      <c r="L110" s="14" t="s">
        <v>258</v>
      </c>
      <c r="M110" s="14">
        <v>2012</v>
      </c>
      <c r="N110" s="13">
        <v>6</v>
      </c>
      <c r="O110" s="13"/>
      <c r="P110" s="71"/>
      <c r="Q110" s="71"/>
      <c r="R110" s="8" t="s">
        <v>6</v>
      </c>
      <c r="S110" s="80">
        <v>58.28</v>
      </c>
      <c r="T110" s="26">
        <f t="shared" si="13"/>
        <v>58.28</v>
      </c>
      <c r="U110" s="26">
        <v>58.28</v>
      </c>
      <c r="V110" s="26"/>
      <c r="W110" s="26">
        <f t="shared" si="14"/>
        <v>62.130360000000003</v>
      </c>
      <c r="X110" s="26">
        <v>62.130360000000003</v>
      </c>
      <c r="Y110" s="26"/>
      <c r="Z110" s="28">
        <f t="shared" si="15"/>
        <v>3.850360000000002</v>
      </c>
      <c r="AA110" s="31">
        <f t="shared" si="11"/>
        <v>3.850360000000002</v>
      </c>
      <c r="AB110" s="28">
        <f t="shared" si="11"/>
        <v>0</v>
      </c>
      <c r="AC110" s="5">
        <f t="shared" si="12"/>
        <v>2.8696399999999969</v>
      </c>
      <c r="AE110" s="5"/>
      <c r="AG110" s="5">
        <f t="shared" si="16"/>
        <v>-3.850360000000002</v>
      </c>
      <c r="AH110" s="10"/>
      <c r="AI110" s="5">
        <f t="shared" si="17"/>
        <v>-65</v>
      </c>
    </row>
    <row r="111" spans="1:35" ht="31.5">
      <c r="A111" s="134">
        <v>81</v>
      </c>
      <c r="B111" s="13" t="s">
        <v>162</v>
      </c>
      <c r="C111" s="106">
        <v>7230010</v>
      </c>
      <c r="D111" s="158" t="s">
        <v>102</v>
      </c>
      <c r="E111" s="13" t="s">
        <v>204</v>
      </c>
      <c r="F111" s="13">
        <v>876</v>
      </c>
      <c r="G111" s="13" t="s">
        <v>294</v>
      </c>
      <c r="H111" s="13">
        <v>1</v>
      </c>
      <c r="I111" s="144" t="s">
        <v>274</v>
      </c>
      <c r="J111" s="13" t="s">
        <v>161</v>
      </c>
      <c r="K111" s="145">
        <f>S111*4</f>
        <v>251.16731999999999</v>
      </c>
      <c r="L111" s="14" t="s">
        <v>258</v>
      </c>
      <c r="M111" s="14">
        <v>2012</v>
      </c>
      <c r="N111" s="13">
        <v>6</v>
      </c>
      <c r="O111" s="13"/>
      <c r="P111" s="71"/>
      <c r="Q111" s="71"/>
      <c r="R111" s="8" t="s">
        <v>4</v>
      </c>
      <c r="S111" s="80">
        <v>62.791829999999997</v>
      </c>
      <c r="T111" s="26">
        <f t="shared" si="13"/>
        <v>22.33991</v>
      </c>
      <c r="U111" s="26">
        <v>22.33991</v>
      </c>
      <c r="V111" s="26"/>
      <c r="W111" s="26">
        <f t="shared" si="14"/>
        <v>62.791829999999997</v>
      </c>
      <c r="X111" s="26">
        <v>62.791829999999997</v>
      </c>
      <c r="Y111" s="26"/>
      <c r="Z111" s="28">
        <f t="shared" si="15"/>
        <v>40.451920000000001</v>
      </c>
      <c r="AA111" s="31">
        <f t="shared" si="11"/>
        <v>40.451920000000001</v>
      </c>
      <c r="AB111" s="28">
        <f t="shared" si="11"/>
        <v>0</v>
      </c>
      <c r="AC111" s="5">
        <f t="shared" si="12"/>
        <v>188.37548999999999</v>
      </c>
      <c r="AE111" s="5"/>
      <c r="AG111" s="5">
        <f t="shared" si="16"/>
        <v>-40.451920000000001</v>
      </c>
      <c r="AH111" s="10"/>
      <c r="AI111" s="5">
        <f t="shared" si="17"/>
        <v>-251.16731999999999</v>
      </c>
    </row>
    <row r="112" spans="1:35" ht="47.25">
      <c r="A112" s="134">
        <v>82</v>
      </c>
      <c r="B112" s="13" t="s">
        <v>162</v>
      </c>
      <c r="C112" s="106">
        <v>8511000</v>
      </c>
      <c r="D112" s="158" t="s">
        <v>103</v>
      </c>
      <c r="E112" s="13" t="s">
        <v>205</v>
      </c>
      <c r="F112" s="13">
        <v>876</v>
      </c>
      <c r="G112" s="13" t="s">
        <v>294</v>
      </c>
      <c r="H112" s="13">
        <v>1</v>
      </c>
      <c r="I112" s="144" t="s">
        <v>274</v>
      </c>
      <c r="J112" s="13" t="s">
        <v>161</v>
      </c>
      <c r="K112" s="145">
        <f>747.57+180</f>
        <v>927.57</v>
      </c>
      <c r="L112" s="14" t="s">
        <v>258</v>
      </c>
      <c r="M112" s="14">
        <v>2012</v>
      </c>
      <c r="N112" s="13">
        <v>6</v>
      </c>
      <c r="O112" s="13"/>
      <c r="P112" s="71"/>
      <c r="Q112" s="71"/>
      <c r="R112" s="8" t="s">
        <v>4</v>
      </c>
      <c r="S112" s="82">
        <v>186.89332999999999</v>
      </c>
      <c r="T112" s="10">
        <f t="shared" si="13"/>
        <v>293.41766000000001</v>
      </c>
      <c r="U112" s="10">
        <v>74.717079999999996</v>
      </c>
      <c r="V112" s="10">
        <v>218.70058</v>
      </c>
      <c r="W112" s="10">
        <f t="shared" si="14"/>
        <v>612.87977999999998</v>
      </c>
      <c r="X112" s="10">
        <v>221.81321</v>
      </c>
      <c r="Y112" s="10">
        <v>391.06657000000001</v>
      </c>
      <c r="Z112" s="28">
        <f t="shared" si="15"/>
        <v>319.46212000000003</v>
      </c>
      <c r="AA112" s="31">
        <f t="shared" si="11"/>
        <v>147.09613000000002</v>
      </c>
      <c r="AB112" s="28">
        <f t="shared" si="11"/>
        <v>172.36599000000001</v>
      </c>
      <c r="AC112" s="5">
        <f t="shared" si="12"/>
        <v>705.75679000000002</v>
      </c>
      <c r="AE112" s="5"/>
      <c r="AG112" s="5">
        <f t="shared" si="16"/>
        <v>-147.09613000000002</v>
      </c>
      <c r="AH112" s="10">
        <f>[1]TDSheet!$J$1526</f>
        <v>798.77</v>
      </c>
      <c r="AI112" s="5">
        <f t="shared" si="17"/>
        <v>-128.80000000000007</v>
      </c>
    </row>
    <row r="113" spans="1:35" ht="15.75">
      <c r="A113" s="134">
        <v>83</v>
      </c>
      <c r="B113" s="13" t="s">
        <v>162</v>
      </c>
      <c r="C113" s="106">
        <v>8090000</v>
      </c>
      <c r="D113" s="158" t="s">
        <v>11</v>
      </c>
      <c r="E113" s="13" t="s">
        <v>206</v>
      </c>
      <c r="F113" s="13">
        <v>876</v>
      </c>
      <c r="G113" s="13" t="s">
        <v>294</v>
      </c>
      <c r="H113" s="13">
        <v>1</v>
      </c>
      <c r="I113" s="144" t="s">
        <v>274</v>
      </c>
      <c r="J113" s="13" t="s">
        <v>161</v>
      </c>
      <c r="K113" s="145">
        <f>S113*2</f>
        <v>306.56</v>
      </c>
      <c r="L113" s="14" t="s">
        <v>258</v>
      </c>
      <c r="M113" s="14">
        <v>2012</v>
      </c>
      <c r="N113" s="13">
        <v>6</v>
      </c>
      <c r="O113" s="13"/>
      <c r="P113" s="71"/>
      <c r="Q113" s="71"/>
      <c r="R113" s="8" t="s">
        <v>4</v>
      </c>
      <c r="S113" s="80">
        <v>153.28</v>
      </c>
      <c r="T113" s="26">
        <f t="shared" si="13"/>
        <v>0</v>
      </c>
      <c r="U113" s="26">
        <v>0</v>
      </c>
      <c r="V113" s="26"/>
      <c r="W113" s="26">
        <f t="shared" si="14"/>
        <v>153.2804299999998</v>
      </c>
      <c r="X113" s="26">
        <f>3635.89743-3482.617</f>
        <v>153.2804299999998</v>
      </c>
      <c r="Y113" s="26"/>
      <c r="Z113" s="28">
        <f t="shared" si="15"/>
        <v>153.2804299999998</v>
      </c>
      <c r="AA113" s="31">
        <f t="shared" si="11"/>
        <v>153.2804299999998</v>
      </c>
      <c r="AB113" s="28">
        <f t="shared" si="11"/>
        <v>0</v>
      </c>
      <c r="AC113" s="5">
        <f t="shared" si="12"/>
        <v>153.27957000000021</v>
      </c>
      <c r="AE113" s="5"/>
      <c r="AG113" s="5">
        <f t="shared" si="16"/>
        <v>-153.2804299999998</v>
      </c>
      <c r="AH113" s="10">
        <f>[1]TDSheet!$J$2204-[1]TDSheet!$J$2218+[1]TDSheet!$J$2787</f>
        <v>283.61</v>
      </c>
      <c r="AI113" s="5">
        <f t="shared" si="17"/>
        <v>-22.949999999999989</v>
      </c>
    </row>
    <row r="114" spans="1:35" ht="31.5">
      <c r="A114" s="134">
        <v>84</v>
      </c>
      <c r="B114" s="13" t="s">
        <v>162</v>
      </c>
      <c r="C114" s="106">
        <v>7530000</v>
      </c>
      <c r="D114" s="158" t="s">
        <v>105</v>
      </c>
      <c r="E114" s="13" t="s">
        <v>207</v>
      </c>
      <c r="F114" s="13">
        <v>876</v>
      </c>
      <c r="G114" s="13" t="s">
        <v>294</v>
      </c>
      <c r="H114" s="13">
        <v>1</v>
      </c>
      <c r="I114" s="144" t="s">
        <v>274</v>
      </c>
      <c r="J114" s="13" t="s">
        <v>161</v>
      </c>
      <c r="K114" s="145">
        <f>'[2]Форма 1 (скорект)'!$H$112</f>
        <v>1893</v>
      </c>
      <c r="L114" s="14" t="s">
        <v>258</v>
      </c>
      <c r="M114" s="14">
        <v>2012</v>
      </c>
      <c r="N114" s="13">
        <v>6</v>
      </c>
      <c r="O114" s="13"/>
      <c r="P114" s="71"/>
      <c r="Q114" s="71"/>
      <c r="R114" s="8" t="s">
        <v>4</v>
      </c>
      <c r="S114" s="80">
        <v>574.27705000000003</v>
      </c>
      <c r="T114" s="26">
        <f t="shared" si="13"/>
        <v>198.70191</v>
      </c>
      <c r="U114" s="26">
        <v>194.46966</v>
      </c>
      <c r="V114" s="26">
        <v>4.2322499999999996</v>
      </c>
      <c r="W114" s="26">
        <f t="shared" si="14"/>
        <v>687.15886</v>
      </c>
      <c r="X114" s="26">
        <v>679.64611000000002</v>
      </c>
      <c r="Y114" s="26">
        <v>7.5127499999999996</v>
      </c>
      <c r="Z114" s="28">
        <f t="shared" si="15"/>
        <v>488.45695000000006</v>
      </c>
      <c r="AA114" s="31">
        <f t="shared" si="11"/>
        <v>485.17645000000005</v>
      </c>
      <c r="AB114" s="28">
        <f t="shared" si="11"/>
        <v>3.2805</v>
      </c>
      <c r="AC114" s="5">
        <f t="shared" si="12"/>
        <v>1213.3538899999999</v>
      </c>
      <c r="AE114" s="5"/>
      <c r="AG114" s="5">
        <f t="shared" si="16"/>
        <v>-485.17645000000005</v>
      </c>
      <c r="AH114" s="10">
        <f>[1]TDSheet!$J$2223</f>
        <v>1691.29</v>
      </c>
      <c r="AI114" s="5">
        <f t="shared" si="17"/>
        <v>-201.71000000000004</v>
      </c>
    </row>
    <row r="115" spans="1:35" ht="31.5">
      <c r="A115" s="134">
        <v>85</v>
      </c>
      <c r="B115" s="13" t="s">
        <v>162</v>
      </c>
      <c r="C115" s="106">
        <v>6611030</v>
      </c>
      <c r="D115" s="158" t="s">
        <v>16</v>
      </c>
      <c r="E115" s="13" t="s">
        <v>207</v>
      </c>
      <c r="F115" s="13">
        <v>876</v>
      </c>
      <c r="G115" s="13" t="s">
        <v>294</v>
      </c>
      <c r="H115" s="13">
        <v>1</v>
      </c>
      <c r="I115" s="144" t="s">
        <v>274</v>
      </c>
      <c r="J115" s="13" t="s">
        <v>161</v>
      </c>
      <c r="K115" s="145">
        <f>544.25+500</f>
        <v>1044.25</v>
      </c>
      <c r="L115" s="14" t="s">
        <v>258</v>
      </c>
      <c r="M115" s="14">
        <v>2012</v>
      </c>
      <c r="N115" s="13">
        <v>6</v>
      </c>
      <c r="O115" s="13"/>
      <c r="P115" s="71"/>
      <c r="Q115" s="71"/>
      <c r="R115" s="8" t="s">
        <v>4</v>
      </c>
      <c r="S115" s="80">
        <v>309.53500000000003</v>
      </c>
      <c r="T115" s="26">
        <f t="shared" si="13"/>
        <v>301.07</v>
      </c>
      <c r="U115" s="26">
        <v>301.07</v>
      </c>
      <c r="V115" s="26"/>
      <c r="W115" s="26">
        <f t="shared" si="14"/>
        <v>309.53500000000003</v>
      </c>
      <c r="X115" s="26">
        <v>309.53500000000003</v>
      </c>
      <c r="Y115" s="26"/>
      <c r="Z115" s="28">
        <f t="shared" si="15"/>
        <v>8.4650000000000318</v>
      </c>
      <c r="AA115" s="31">
        <f t="shared" si="11"/>
        <v>8.4650000000000318</v>
      </c>
      <c r="AB115" s="28">
        <f t="shared" si="11"/>
        <v>0</v>
      </c>
      <c r="AC115" s="5">
        <f t="shared" si="12"/>
        <v>734.71499999999992</v>
      </c>
      <c r="AE115" s="5"/>
      <c r="AG115" s="5">
        <f t="shared" si="16"/>
        <v>-8.4650000000000318</v>
      </c>
      <c r="AH115" s="10">
        <f>[1]TDSheet!$J$2740</f>
        <v>874.68</v>
      </c>
      <c r="AI115" s="5">
        <f t="shared" si="17"/>
        <v>-169.57000000000005</v>
      </c>
    </row>
    <row r="116" spans="1:35" ht="31.5">
      <c r="A116" s="134">
        <v>86</v>
      </c>
      <c r="B116" s="13" t="s">
        <v>162</v>
      </c>
      <c r="C116" s="106">
        <v>6611020</v>
      </c>
      <c r="D116" s="158" t="s">
        <v>10</v>
      </c>
      <c r="E116" s="13" t="s">
        <v>207</v>
      </c>
      <c r="F116" s="13">
        <v>876</v>
      </c>
      <c r="G116" s="13" t="s">
        <v>294</v>
      </c>
      <c r="H116" s="13">
        <v>1</v>
      </c>
      <c r="I116" s="144" t="s">
        <v>274</v>
      </c>
      <c r="J116" s="13" t="s">
        <v>161</v>
      </c>
      <c r="K116" s="145">
        <f>'[2]Форма 1 (скорект)'!$H$111</f>
        <v>874.8</v>
      </c>
      <c r="L116" s="14" t="s">
        <v>258</v>
      </c>
      <c r="M116" s="14">
        <v>2012</v>
      </c>
      <c r="N116" s="13">
        <v>6</v>
      </c>
      <c r="O116" s="13"/>
      <c r="P116" s="71"/>
      <c r="Q116" s="71"/>
      <c r="R116" s="8" t="s">
        <v>4</v>
      </c>
      <c r="S116" s="80"/>
      <c r="T116" s="26">
        <f t="shared" si="13"/>
        <v>0</v>
      </c>
      <c r="U116" s="26"/>
      <c r="V116" s="26"/>
      <c r="W116" s="26">
        <f t="shared" si="14"/>
        <v>0</v>
      </c>
      <c r="X116" s="26"/>
      <c r="Y116" s="26"/>
      <c r="Z116" s="28">
        <f t="shared" si="15"/>
        <v>0</v>
      </c>
      <c r="AA116" s="31">
        <f t="shared" si="11"/>
        <v>0</v>
      </c>
      <c r="AB116" s="28">
        <f t="shared" si="11"/>
        <v>0</v>
      </c>
      <c r="AC116" s="5">
        <f t="shared" si="12"/>
        <v>874.8</v>
      </c>
      <c r="AE116" s="5">
        <f>K116-AC116</f>
        <v>0</v>
      </c>
      <c r="AG116" s="5">
        <f t="shared" si="16"/>
        <v>0</v>
      </c>
      <c r="AH116" s="10">
        <f>[1]TDSheet!$J$2746</f>
        <v>225.28</v>
      </c>
      <c r="AI116" s="5">
        <f t="shared" si="17"/>
        <v>-649.52</v>
      </c>
    </row>
    <row r="117" spans="1:35" ht="15.75">
      <c r="A117" s="134">
        <v>87</v>
      </c>
      <c r="B117" s="13" t="s">
        <v>162</v>
      </c>
      <c r="C117" s="106">
        <v>5020000</v>
      </c>
      <c r="D117" s="158" t="s">
        <v>106</v>
      </c>
      <c r="E117" s="13"/>
      <c r="F117" s="13">
        <v>876</v>
      </c>
      <c r="G117" s="13" t="s">
        <v>294</v>
      </c>
      <c r="H117" s="13">
        <v>1</v>
      </c>
      <c r="I117" s="144" t="s">
        <v>274</v>
      </c>
      <c r="J117" s="13" t="s">
        <v>161</v>
      </c>
      <c r="K117" s="145">
        <f>S117</f>
        <v>7.2712500000000002</v>
      </c>
      <c r="L117" s="14" t="s">
        <v>258</v>
      </c>
      <c r="M117" s="14">
        <v>2012</v>
      </c>
      <c r="N117" s="13">
        <v>6</v>
      </c>
      <c r="O117" s="13"/>
      <c r="P117" s="71"/>
      <c r="Q117" s="71"/>
      <c r="R117" s="8" t="s">
        <v>6</v>
      </c>
      <c r="S117" s="80">
        <v>7.2712500000000002</v>
      </c>
      <c r="T117" s="26">
        <f t="shared" si="13"/>
        <v>0</v>
      </c>
      <c r="U117" s="26">
        <v>0</v>
      </c>
      <c r="V117" s="26"/>
      <c r="W117" s="26">
        <f t="shared" si="14"/>
        <v>7.2712500000000002</v>
      </c>
      <c r="X117" s="26">
        <v>7.2712500000000002</v>
      </c>
      <c r="Y117" s="26"/>
      <c r="Z117" s="28">
        <f t="shared" si="15"/>
        <v>7.2712500000000002</v>
      </c>
      <c r="AA117" s="31">
        <f t="shared" si="11"/>
        <v>7.2712500000000002</v>
      </c>
      <c r="AB117" s="28">
        <f t="shared" si="11"/>
        <v>0</v>
      </c>
      <c r="AC117" s="5">
        <f t="shared" si="12"/>
        <v>0</v>
      </c>
      <c r="AE117" s="5"/>
      <c r="AG117" s="5">
        <f t="shared" si="16"/>
        <v>-7.2712500000000002</v>
      </c>
      <c r="AH117" s="10"/>
      <c r="AI117" s="5">
        <f t="shared" si="17"/>
        <v>-7.2712500000000002</v>
      </c>
    </row>
    <row r="118" spans="1:35" ht="47.25">
      <c r="A118" s="134">
        <v>88</v>
      </c>
      <c r="B118" s="13" t="s">
        <v>162</v>
      </c>
      <c r="C118" s="106">
        <v>7523000</v>
      </c>
      <c r="D118" s="158" t="s">
        <v>107</v>
      </c>
      <c r="E118" s="149" t="s">
        <v>208</v>
      </c>
      <c r="F118" s="149">
        <v>876</v>
      </c>
      <c r="G118" s="13" t="s">
        <v>294</v>
      </c>
      <c r="H118" s="13">
        <v>1</v>
      </c>
      <c r="I118" s="144" t="s">
        <v>274</v>
      </c>
      <c r="J118" s="13" t="s">
        <v>161</v>
      </c>
      <c r="K118" s="145">
        <v>40</v>
      </c>
      <c r="L118" s="14" t="s">
        <v>258</v>
      </c>
      <c r="M118" s="14">
        <v>2012</v>
      </c>
      <c r="N118" s="13">
        <v>6</v>
      </c>
      <c r="O118" s="13"/>
      <c r="P118" s="71"/>
      <c r="Q118" s="71"/>
      <c r="R118" s="8" t="s">
        <v>4</v>
      </c>
      <c r="S118" s="80">
        <v>12.227</v>
      </c>
      <c r="T118" s="26">
        <f t="shared" si="13"/>
        <v>0</v>
      </c>
      <c r="U118" s="26">
        <v>0</v>
      </c>
      <c r="V118" s="26"/>
      <c r="W118" s="26">
        <f t="shared" si="14"/>
        <v>12.227</v>
      </c>
      <c r="X118" s="26">
        <v>12.227</v>
      </c>
      <c r="Y118" s="26"/>
      <c r="Z118" s="28">
        <f t="shared" si="15"/>
        <v>12.227</v>
      </c>
      <c r="AA118" s="31">
        <f t="shared" si="11"/>
        <v>12.227</v>
      </c>
      <c r="AB118" s="28">
        <f t="shared" si="11"/>
        <v>0</v>
      </c>
      <c r="AC118" s="5">
        <f t="shared" si="12"/>
        <v>27.773</v>
      </c>
      <c r="AE118" s="5"/>
      <c r="AG118" s="5">
        <f t="shared" si="16"/>
        <v>-12.227</v>
      </c>
      <c r="AH118" s="10"/>
      <c r="AI118" s="5">
        <f t="shared" si="17"/>
        <v>-40</v>
      </c>
    </row>
    <row r="119" spans="1:35" ht="15.75">
      <c r="A119" s="134">
        <v>89</v>
      </c>
      <c r="B119" s="13" t="s">
        <v>162</v>
      </c>
      <c r="C119" s="106">
        <v>8513010</v>
      </c>
      <c r="D119" s="158" t="s">
        <v>108</v>
      </c>
      <c r="E119" s="149" t="s">
        <v>209</v>
      </c>
      <c r="F119" s="149">
        <v>876</v>
      </c>
      <c r="G119" s="13" t="s">
        <v>294</v>
      </c>
      <c r="H119" s="13">
        <v>1</v>
      </c>
      <c r="I119" s="144" t="s">
        <v>274</v>
      </c>
      <c r="J119" s="13" t="s">
        <v>161</v>
      </c>
      <c r="K119" s="145">
        <f>S119</f>
        <v>30.662310000000002</v>
      </c>
      <c r="L119" s="14" t="s">
        <v>258</v>
      </c>
      <c r="M119" s="14">
        <v>2012</v>
      </c>
      <c r="N119" s="13">
        <v>6</v>
      </c>
      <c r="O119" s="13"/>
      <c r="P119" s="71"/>
      <c r="Q119" s="71"/>
      <c r="R119" s="8" t="s">
        <v>6</v>
      </c>
      <c r="S119" s="80">
        <v>30.662310000000002</v>
      </c>
      <c r="T119" s="26">
        <f t="shared" si="13"/>
        <v>30.662610000000001</v>
      </c>
      <c r="U119" s="26">
        <v>30.662610000000001</v>
      </c>
      <c r="V119" s="26"/>
      <c r="W119" s="26">
        <f t="shared" si="14"/>
        <v>30.662310000000002</v>
      </c>
      <c r="X119" s="26">
        <v>30.662310000000002</v>
      </c>
      <c r="Y119" s="26"/>
      <c r="Z119" s="28">
        <f t="shared" si="15"/>
        <v>-2.9999999999930083E-4</v>
      </c>
      <c r="AA119" s="31">
        <f t="shared" ref="AA119:AB142" si="18">X119-U119</f>
        <v>-2.9999999999930083E-4</v>
      </c>
      <c r="AB119" s="28">
        <f t="shared" si="18"/>
        <v>0</v>
      </c>
      <c r="AC119" s="5">
        <f t="shared" ref="AC119:AC143" si="19">K119-X119</f>
        <v>0</v>
      </c>
      <c r="AE119" s="5"/>
      <c r="AG119" s="5">
        <f t="shared" si="16"/>
        <v>2.9999999999930083E-4</v>
      </c>
      <c r="AH119" s="10"/>
      <c r="AI119" s="5">
        <f t="shared" si="17"/>
        <v>-30.662310000000002</v>
      </c>
    </row>
    <row r="120" spans="1:35" ht="15.75">
      <c r="A120" s="134">
        <v>90</v>
      </c>
      <c r="B120" s="13" t="s">
        <v>162</v>
      </c>
      <c r="C120" s="146">
        <v>2010000</v>
      </c>
      <c r="D120" s="158" t="s">
        <v>109</v>
      </c>
      <c r="E120" s="149" t="s">
        <v>210</v>
      </c>
      <c r="F120" s="149">
        <v>876</v>
      </c>
      <c r="G120" s="13" t="s">
        <v>294</v>
      </c>
      <c r="H120" s="13">
        <v>1</v>
      </c>
      <c r="I120" s="144" t="s">
        <v>274</v>
      </c>
      <c r="J120" s="13" t="s">
        <v>161</v>
      </c>
      <c r="K120" s="145">
        <f>1000+1200*0.3</f>
        <v>1360</v>
      </c>
      <c r="L120" s="14" t="s">
        <v>258</v>
      </c>
      <c r="M120" s="14">
        <v>2012</v>
      </c>
      <c r="N120" s="13">
        <v>6</v>
      </c>
      <c r="O120" s="13"/>
      <c r="P120" s="71"/>
      <c r="Q120" s="71"/>
      <c r="R120" s="8" t="s">
        <v>4</v>
      </c>
      <c r="S120" s="80">
        <v>34.798000000000002</v>
      </c>
      <c r="T120" s="26">
        <f t="shared" si="13"/>
        <v>51.7</v>
      </c>
      <c r="U120" s="26">
        <v>30</v>
      </c>
      <c r="V120" s="26">
        <v>21.7</v>
      </c>
      <c r="W120" s="26">
        <f t="shared" si="14"/>
        <v>99.450100000000006</v>
      </c>
      <c r="X120" s="26">
        <v>75.699100000000001</v>
      </c>
      <c r="Y120" s="26">
        <v>23.751000000000001</v>
      </c>
      <c r="Z120" s="28">
        <f t="shared" si="15"/>
        <v>47.750100000000003</v>
      </c>
      <c r="AA120" s="31">
        <f t="shared" si="18"/>
        <v>45.699100000000001</v>
      </c>
      <c r="AB120" s="28">
        <f t="shared" si="18"/>
        <v>2.0510000000000019</v>
      </c>
      <c r="AC120" s="5">
        <f t="shared" si="19"/>
        <v>1284.3009</v>
      </c>
      <c r="AE120" s="5"/>
      <c r="AG120" s="5">
        <f t="shared" si="16"/>
        <v>-45.699100000000001</v>
      </c>
      <c r="AH120" s="10">
        <f>[1]TDSheet!$J$4346</f>
        <v>222.93</v>
      </c>
      <c r="AI120" s="5">
        <f t="shared" si="17"/>
        <v>-1137.07</v>
      </c>
    </row>
    <row r="121" spans="1:35" ht="31.5">
      <c r="A121" s="134">
        <v>91</v>
      </c>
      <c r="B121" s="13" t="s">
        <v>162</v>
      </c>
      <c r="C121" s="106">
        <v>6322000</v>
      </c>
      <c r="D121" s="158" t="s">
        <v>110</v>
      </c>
      <c r="E121" s="13" t="s">
        <v>207</v>
      </c>
      <c r="F121" s="13">
        <v>876</v>
      </c>
      <c r="G121" s="13" t="s">
        <v>294</v>
      </c>
      <c r="H121" s="13">
        <v>1</v>
      </c>
      <c r="I121" s="144" t="s">
        <v>274</v>
      </c>
      <c r="J121" s="13" t="s">
        <v>161</v>
      </c>
      <c r="K121" s="145">
        <f>88189.12-2489.352-7809.46</f>
        <v>77890.30799999999</v>
      </c>
      <c r="L121" s="14" t="s">
        <v>258</v>
      </c>
      <c r="M121" s="14">
        <v>2012</v>
      </c>
      <c r="N121" s="13">
        <v>6</v>
      </c>
      <c r="O121" s="13"/>
      <c r="P121" s="71"/>
      <c r="Q121" s="71"/>
      <c r="R121" s="8" t="s">
        <v>4</v>
      </c>
      <c r="S121" s="82">
        <f>21.7994+172</f>
        <v>193.79939999999999</v>
      </c>
      <c r="T121" s="10">
        <f t="shared" si="13"/>
        <v>0</v>
      </c>
      <c r="U121" s="10">
        <f>0+0</f>
        <v>0</v>
      </c>
      <c r="V121" s="10"/>
      <c r="W121" s="10">
        <f t="shared" si="14"/>
        <v>134.27719999999999</v>
      </c>
      <c r="X121" s="10">
        <f>23.7994+90</f>
        <v>113.79939999999999</v>
      </c>
      <c r="Y121" s="10">
        <f>18.3778+2.1</f>
        <v>20.477800000000002</v>
      </c>
      <c r="Z121" s="28">
        <f t="shared" si="15"/>
        <v>134.27719999999999</v>
      </c>
      <c r="AA121" s="31">
        <f t="shared" si="18"/>
        <v>113.79939999999999</v>
      </c>
      <c r="AB121" s="28">
        <f t="shared" si="18"/>
        <v>20.477800000000002</v>
      </c>
      <c r="AC121" s="5">
        <f t="shared" si="19"/>
        <v>77776.508599999986</v>
      </c>
      <c r="AE121" s="5"/>
      <c r="AG121" s="5">
        <f t="shared" si="16"/>
        <v>-113.79939999999999</v>
      </c>
      <c r="AH121" s="10">
        <f>[1]TDSheet!$J$2755+[1]TDSheet!$J$2912+[1]TDSheet!$J$3221+[1]TDSheet!$J$3271</f>
        <v>4186.17</v>
      </c>
      <c r="AI121" s="5">
        <f t="shared" si="17"/>
        <v>-73704.137999999992</v>
      </c>
    </row>
    <row r="122" spans="1:35" ht="34.5" customHeight="1">
      <c r="A122" s="134">
        <v>92</v>
      </c>
      <c r="B122" s="13" t="s">
        <v>162</v>
      </c>
      <c r="C122" s="106">
        <v>6312000</v>
      </c>
      <c r="D122" s="158" t="s">
        <v>111</v>
      </c>
      <c r="E122" s="149" t="s">
        <v>211</v>
      </c>
      <c r="F122" s="149">
        <v>876</v>
      </c>
      <c r="G122" s="13" t="s">
        <v>294</v>
      </c>
      <c r="H122" s="13">
        <v>1</v>
      </c>
      <c r="I122" s="144" t="s">
        <v>274</v>
      </c>
      <c r="J122" s="13" t="s">
        <v>161</v>
      </c>
      <c r="K122" s="145">
        <f>S122*2</f>
        <v>248.79123999999999</v>
      </c>
      <c r="L122" s="14" t="s">
        <v>258</v>
      </c>
      <c r="M122" s="14">
        <v>2012</v>
      </c>
      <c r="N122" s="13">
        <v>6</v>
      </c>
      <c r="O122" s="13"/>
      <c r="P122" s="71"/>
      <c r="Q122" s="71"/>
      <c r="R122" s="8" t="s">
        <v>4</v>
      </c>
      <c r="S122" s="80">
        <v>124.39561999999999</v>
      </c>
      <c r="T122" s="26">
        <f t="shared" si="13"/>
        <v>61.242089999999997</v>
      </c>
      <c r="U122" s="26">
        <v>61.242089999999997</v>
      </c>
      <c r="V122" s="26"/>
      <c r="W122" s="26">
        <f t="shared" si="14"/>
        <v>124.39561999999999</v>
      </c>
      <c r="X122" s="26">
        <v>124.39561999999999</v>
      </c>
      <c r="Y122" s="26"/>
      <c r="Z122" s="28">
        <f t="shared" si="15"/>
        <v>63.153529999999996</v>
      </c>
      <c r="AA122" s="31">
        <f t="shared" si="18"/>
        <v>63.153529999999996</v>
      </c>
      <c r="AB122" s="28">
        <f t="shared" si="18"/>
        <v>0</v>
      </c>
      <c r="AC122" s="5">
        <f t="shared" si="19"/>
        <v>124.39561999999999</v>
      </c>
      <c r="AE122" s="5"/>
      <c r="AG122" s="5">
        <f t="shared" si="16"/>
        <v>-63.153529999999996</v>
      </c>
      <c r="AH122" s="10"/>
      <c r="AI122" s="5">
        <f t="shared" si="17"/>
        <v>-248.79123999999999</v>
      </c>
    </row>
    <row r="123" spans="1:35" ht="15.75">
      <c r="A123" s="134">
        <v>93</v>
      </c>
      <c r="B123" s="13" t="s">
        <v>162</v>
      </c>
      <c r="C123" s="106">
        <v>2944020</v>
      </c>
      <c r="D123" s="158" t="s">
        <v>112</v>
      </c>
      <c r="E123" s="13" t="s">
        <v>212</v>
      </c>
      <c r="F123" s="13">
        <v>876</v>
      </c>
      <c r="G123" s="13" t="s">
        <v>294</v>
      </c>
      <c r="H123" s="13">
        <v>1</v>
      </c>
      <c r="I123" s="144" t="s">
        <v>274</v>
      </c>
      <c r="J123" s="13" t="s">
        <v>161</v>
      </c>
      <c r="K123" s="145">
        <f>S123*2</f>
        <v>692.87279999999998</v>
      </c>
      <c r="L123" s="14" t="s">
        <v>258</v>
      </c>
      <c r="M123" s="14">
        <v>2012</v>
      </c>
      <c r="N123" s="13">
        <v>6</v>
      </c>
      <c r="O123" s="13"/>
      <c r="P123" s="71"/>
      <c r="Q123" s="71"/>
      <c r="R123" s="8" t="s">
        <v>4</v>
      </c>
      <c r="S123" s="82">
        <v>346.43639999999999</v>
      </c>
      <c r="T123" s="10">
        <f t="shared" si="13"/>
        <v>346.43639999999999</v>
      </c>
      <c r="U123" s="10">
        <v>346.43639999999999</v>
      </c>
      <c r="V123" s="10"/>
      <c r="W123" s="10">
        <f t="shared" si="14"/>
        <v>346.43639999999999</v>
      </c>
      <c r="X123" s="10">
        <v>346.43639999999999</v>
      </c>
      <c r="Y123" s="10"/>
      <c r="Z123" s="28">
        <f t="shared" si="15"/>
        <v>0</v>
      </c>
      <c r="AA123" s="31">
        <f t="shared" si="18"/>
        <v>0</v>
      </c>
      <c r="AB123" s="28">
        <f t="shared" si="18"/>
        <v>0</v>
      </c>
      <c r="AC123" s="5">
        <f t="shared" si="19"/>
        <v>346.43639999999999</v>
      </c>
      <c r="AE123" s="5"/>
      <c r="AG123" s="5">
        <f t="shared" si="16"/>
        <v>0</v>
      </c>
      <c r="AH123" s="10"/>
      <c r="AI123" s="5">
        <f t="shared" si="17"/>
        <v>-692.87279999999998</v>
      </c>
    </row>
    <row r="124" spans="1:35" ht="15.75">
      <c r="A124" s="134">
        <v>94</v>
      </c>
      <c r="B124" s="13" t="s">
        <v>162</v>
      </c>
      <c r="C124" s="106">
        <v>3190070</v>
      </c>
      <c r="D124" s="158" t="s">
        <v>113</v>
      </c>
      <c r="E124" s="149" t="s">
        <v>213</v>
      </c>
      <c r="F124" s="149">
        <v>876</v>
      </c>
      <c r="G124" s="13" t="s">
        <v>294</v>
      </c>
      <c r="H124" s="13">
        <v>1</v>
      </c>
      <c r="I124" s="144" t="s">
        <v>274</v>
      </c>
      <c r="J124" s="13" t="s">
        <v>161</v>
      </c>
      <c r="K124" s="145">
        <f>S124</f>
        <v>88.6</v>
      </c>
      <c r="L124" s="14" t="s">
        <v>258</v>
      </c>
      <c r="M124" s="14">
        <v>2012</v>
      </c>
      <c r="N124" s="13">
        <v>6</v>
      </c>
      <c r="O124" s="13"/>
      <c r="P124" s="71"/>
      <c r="Q124" s="71"/>
      <c r="R124" s="8" t="s">
        <v>6</v>
      </c>
      <c r="S124" s="82">
        <v>88.6</v>
      </c>
      <c r="T124" s="10">
        <f t="shared" si="13"/>
        <v>88.6</v>
      </c>
      <c r="U124" s="10">
        <v>88.6</v>
      </c>
      <c r="V124" s="10"/>
      <c r="W124" s="10">
        <f t="shared" si="14"/>
        <v>88.6</v>
      </c>
      <c r="X124" s="10">
        <v>88.6</v>
      </c>
      <c r="Y124" s="10"/>
      <c r="Z124" s="28">
        <f t="shared" si="15"/>
        <v>0</v>
      </c>
      <c r="AA124" s="31">
        <f t="shared" si="18"/>
        <v>0</v>
      </c>
      <c r="AB124" s="28">
        <f t="shared" si="18"/>
        <v>0</v>
      </c>
      <c r="AC124" s="5">
        <f t="shared" si="19"/>
        <v>0</v>
      </c>
      <c r="AE124" s="5"/>
      <c r="AG124" s="5">
        <f t="shared" si="16"/>
        <v>0</v>
      </c>
      <c r="AH124" s="10"/>
      <c r="AI124" s="5">
        <f t="shared" si="17"/>
        <v>-88.6</v>
      </c>
    </row>
    <row r="125" spans="1:35" ht="60" customHeight="1">
      <c r="A125" s="134">
        <v>95</v>
      </c>
      <c r="B125" s="13" t="s">
        <v>162</v>
      </c>
      <c r="C125" s="106">
        <v>1721690</v>
      </c>
      <c r="D125" s="158" t="s">
        <v>114</v>
      </c>
      <c r="E125" s="149" t="s">
        <v>214</v>
      </c>
      <c r="F125" s="149">
        <v>876</v>
      </c>
      <c r="G125" s="13" t="s">
        <v>294</v>
      </c>
      <c r="H125" s="13">
        <v>1</v>
      </c>
      <c r="I125" s="144" t="s">
        <v>274</v>
      </c>
      <c r="J125" s="13" t="s">
        <v>161</v>
      </c>
      <c r="K125" s="145">
        <f>S125*2</f>
        <v>701.53417999999999</v>
      </c>
      <c r="L125" s="14" t="s">
        <v>258</v>
      </c>
      <c r="M125" s="14">
        <v>2012</v>
      </c>
      <c r="N125" s="13">
        <v>6</v>
      </c>
      <c r="O125" s="13"/>
      <c r="P125" s="71"/>
      <c r="Q125" s="71"/>
      <c r="R125" s="8" t="s">
        <v>4</v>
      </c>
      <c r="S125" s="82">
        <v>350.76709</v>
      </c>
      <c r="T125" s="10">
        <f t="shared" si="13"/>
        <v>303.20326999999997</v>
      </c>
      <c r="U125" s="10">
        <v>303.20326999999997</v>
      </c>
      <c r="V125" s="10"/>
      <c r="W125" s="10">
        <f t="shared" si="14"/>
        <v>457.07308999999998</v>
      </c>
      <c r="X125" s="10">
        <v>457.07308999999998</v>
      </c>
      <c r="Y125" s="10"/>
      <c r="Z125" s="28">
        <f t="shared" si="15"/>
        <v>153.86982</v>
      </c>
      <c r="AA125" s="31">
        <f t="shared" si="18"/>
        <v>153.86982</v>
      </c>
      <c r="AB125" s="28">
        <f t="shared" si="18"/>
        <v>0</v>
      </c>
      <c r="AC125" s="5">
        <f t="shared" si="19"/>
        <v>244.46109000000001</v>
      </c>
      <c r="AE125" s="5"/>
      <c r="AG125" s="5">
        <f>U125-X125</f>
        <v>-153.86982</v>
      </c>
      <c r="AH125" s="10"/>
      <c r="AI125" s="5">
        <f t="shared" si="17"/>
        <v>-701.53417999999999</v>
      </c>
    </row>
    <row r="126" spans="1:35" ht="31.5">
      <c r="A126" s="134">
        <v>96</v>
      </c>
      <c r="B126" s="13" t="s">
        <v>162</v>
      </c>
      <c r="C126" s="106">
        <v>3610000</v>
      </c>
      <c r="D126" s="158" t="s">
        <v>115</v>
      </c>
      <c r="E126" s="13" t="s">
        <v>215</v>
      </c>
      <c r="F126" s="13">
        <v>876</v>
      </c>
      <c r="G126" s="13" t="s">
        <v>294</v>
      </c>
      <c r="H126" s="13">
        <v>1</v>
      </c>
      <c r="I126" s="144" t="s">
        <v>274</v>
      </c>
      <c r="J126" s="13" t="s">
        <v>161</v>
      </c>
      <c r="K126" s="145">
        <f>S126*6</f>
        <v>196.07999999999998</v>
      </c>
      <c r="L126" s="14" t="s">
        <v>258</v>
      </c>
      <c r="M126" s="14">
        <v>2012</v>
      </c>
      <c r="N126" s="13">
        <v>6</v>
      </c>
      <c r="O126" s="13"/>
      <c r="P126" s="71"/>
      <c r="Q126" s="71"/>
      <c r="R126" s="8" t="s">
        <v>4</v>
      </c>
      <c r="S126" s="82">
        <v>32.68</v>
      </c>
      <c r="T126" s="10">
        <f t="shared" si="13"/>
        <v>32.68</v>
      </c>
      <c r="U126" s="10">
        <v>32.68</v>
      </c>
      <c r="V126" s="10"/>
      <c r="W126" s="10">
        <f t="shared" si="14"/>
        <v>127.253</v>
      </c>
      <c r="X126" s="10">
        <v>127.253</v>
      </c>
      <c r="Y126" s="10"/>
      <c r="Z126" s="28">
        <f t="shared" si="15"/>
        <v>94.573000000000008</v>
      </c>
      <c r="AA126" s="31">
        <f t="shared" si="18"/>
        <v>94.573000000000008</v>
      </c>
      <c r="AB126" s="28">
        <f t="shared" si="18"/>
        <v>0</v>
      </c>
      <c r="AC126" s="5">
        <f t="shared" si="19"/>
        <v>68.826999999999984</v>
      </c>
      <c r="AE126" s="5"/>
      <c r="AG126" s="5">
        <f t="shared" si="16"/>
        <v>-94.573000000000008</v>
      </c>
      <c r="AH126" s="10"/>
      <c r="AI126" s="5">
        <f t="shared" si="17"/>
        <v>-196.07999999999998</v>
      </c>
    </row>
    <row r="127" spans="1:35" ht="31.5">
      <c r="A127" s="134">
        <v>97</v>
      </c>
      <c r="B127" s="13" t="s">
        <v>162</v>
      </c>
      <c r="C127" s="106">
        <v>2919770</v>
      </c>
      <c r="D127" s="158" t="s">
        <v>116</v>
      </c>
      <c r="E127" s="13" t="s">
        <v>182</v>
      </c>
      <c r="F127" s="13">
        <v>876</v>
      </c>
      <c r="G127" s="13" t="s">
        <v>294</v>
      </c>
      <c r="H127" s="13">
        <v>1</v>
      </c>
      <c r="I127" s="144" t="s">
        <v>274</v>
      </c>
      <c r="J127" s="13" t="s">
        <v>161</v>
      </c>
      <c r="K127" s="145">
        <f>S127</f>
        <v>824.99982999999997</v>
      </c>
      <c r="L127" s="14" t="s">
        <v>258</v>
      </c>
      <c r="M127" s="14">
        <v>2012</v>
      </c>
      <c r="N127" s="13">
        <v>6</v>
      </c>
      <c r="O127" s="13"/>
      <c r="P127" s="71"/>
      <c r="Q127" s="71"/>
      <c r="R127" s="8" t="s">
        <v>6</v>
      </c>
      <c r="S127" s="82">
        <v>824.99982999999997</v>
      </c>
      <c r="T127" s="10">
        <f t="shared" si="13"/>
        <v>824.99982999999997</v>
      </c>
      <c r="U127" s="10">
        <v>824.99982999999997</v>
      </c>
      <c r="V127" s="10"/>
      <c r="W127" s="10">
        <f t="shared" si="14"/>
        <v>824.99982999999997</v>
      </c>
      <c r="X127" s="10">
        <v>824.99982999999997</v>
      </c>
      <c r="Y127" s="10"/>
      <c r="Z127" s="28">
        <f t="shared" si="15"/>
        <v>0</v>
      </c>
      <c r="AA127" s="31">
        <f t="shared" si="18"/>
        <v>0</v>
      </c>
      <c r="AB127" s="28">
        <f t="shared" si="18"/>
        <v>0</v>
      </c>
      <c r="AC127" s="5">
        <f t="shared" si="19"/>
        <v>0</v>
      </c>
      <c r="AE127" s="5"/>
      <c r="AG127" s="5">
        <f t="shared" si="16"/>
        <v>0</v>
      </c>
      <c r="AH127" s="10"/>
      <c r="AI127" s="5">
        <f t="shared" si="17"/>
        <v>-824.99982999999997</v>
      </c>
    </row>
    <row r="128" spans="1:35" ht="15.75">
      <c r="A128" s="134">
        <v>98</v>
      </c>
      <c r="B128" s="13" t="s">
        <v>162</v>
      </c>
      <c r="C128" s="106">
        <v>3695000</v>
      </c>
      <c r="D128" s="158" t="s">
        <v>117</v>
      </c>
      <c r="E128" s="13"/>
      <c r="F128" s="13">
        <v>876</v>
      </c>
      <c r="G128" s="13" t="s">
        <v>294</v>
      </c>
      <c r="H128" s="13">
        <v>1</v>
      </c>
      <c r="I128" s="144" t="s">
        <v>274</v>
      </c>
      <c r="J128" s="13" t="s">
        <v>161</v>
      </c>
      <c r="K128" s="145">
        <f>S128</f>
        <v>28</v>
      </c>
      <c r="L128" s="14" t="s">
        <v>258</v>
      </c>
      <c r="M128" s="14">
        <v>2012</v>
      </c>
      <c r="N128" s="13">
        <v>6</v>
      </c>
      <c r="O128" s="13"/>
      <c r="P128" s="71"/>
      <c r="Q128" s="71"/>
      <c r="R128" s="8" t="s">
        <v>6</v>
      </c>
      <c r="S128" s="82">
        <v>28</v>
      </c>
      <c r="T128" s="10">
        <f t="shared" si="13"/>
        <v>28</v>
      </c>
      <c r="U128" s="10">
        <v>28</v>
      </c>
      <c r="V128" s="10"/>
      <c r="W128" s="10">
        <f t="shared" si="14"/>
        <v>28</v>
      </c>
      <c r="X128" s="10">
        <v>28</v>
      </c>
      <c r="Y128" s="10"/>
      <c r="Z128" s="28">
        <f t="shared" si="15"/>
        <v>0</v>
      </c>
      <c r="AA128" s="31">
        <f t="shared" si="18"/>
        <v>0</v>
      </c>
      <c r="AB128" s="28">
        <f t="shared" si="18"/>
        <v>0</v>
      </c>
      <c r="AC128" s="5">
        <f t="shared" si="19"/>
        <v>0</v>
      </c>
      <c r="AE128" s="5"/>
      <c r="AG128" s="5">
        <f t="shared" si="16"/>
        <v>0</v>
      </c>
      <c r="AH128" s="10"/>
      <c r="AI128" s="5">
        <f t="shared" si="17"/>
        <v>-28</v>
      </c>
    </row>
    <row r="129" spans="1:35" ht="15.75">
      <c r="A129" s="134">
        <v>99</v>
      </c>
      <c r="B129" s="13" t="s">
        <v>162</v>
      </c>
      <c r="C129" s="106">
        <v>2423683</v>
      </c>
      <c r="D129" s="158" t="s">
        <v>118</v>
      </c>
      <c r="E129" s="149" t="s">
        <v>216</v>
      </c>
      <c r="F129" s="149">
        <v>876</v>
      </c>
      <c r="G129" s="13" t="s">
        <v>294</v>
      </c>
      <c r="H129" s="13">
        <v>1</v>
      </c>
      <c r="I129" s="144" t="s">
        <v>274</v>
      </c>
      <c r="J129" s="13" t="s">
        <v>161</v>
      </c>
      <c r="K129" s="145">
        <f>'[3]Форма 1 (скорект)'!$G$79</f>
        <v>420</v>
      </c>
      <c r="L129" s="14" t="s">
        <v>258</v>
      </c>
      <c r="M129" s="14">
        <v>2012</v>
      </c>
      <c r="N129" s="13">
        <v>6</v>
      </c>
      <c r="O129" s="13"/>
      <c r="P129" s="71"/>
      <c r="Q129" s="71"/>
      <c r="R129" s="8" t="s">
        <v>4</v>
      </c>
      <c r="S129" s="82">
        <v>58.3</v>
      </c>
      <c r="T129" s="10">
        <f t="shared" si="13"/>
        <v>58.3</v>
      </c>
      <c r="U129" s="10">
        <v>58.3</v>
      </c>
      <c r="V129" s="10"/>
      <c r="W129" s="10">
        <f t="shared" si="14"/>
        <v>174.9</v>
      </c>
      <c r="X129" s="10">
        <v>174.9</v>
      </c>
      <c r="Y129" s="10"/>
      <c r="Z129" s="28">
        <f t="shared" si="15"/>
        <v>116.60000000000001</v>
      </c>
      <c r="AA129" s="31">
        <f t="shared" si="18"/>
        <v>116.60000000000001</v>
      </c>
      <c r="AB129" s="28">
        <f t="shared" si="18"/>
        <v>0</v>
      </c>
      <c r="AC129" s="5">
        <f t="shared" si="19"/>
        <v>245.1</v>
      </c>
      <c r="AE129" s="5"/>
      <c r="AG129" s="5">
        <f t="shared" si="16"/>
        <v>-116.60000000000001</v>
      </c>
      <c r="AH129" s="10"/>
      <c r="AI129" s="5">
        <f t="shared" si="17"/>
        <v>-420</v>
      </c>
    </row>
    <row r="130" spans="1:35" ht="15.75">
      <c r="A130" s="134">
        <v>100</v>
      </c>
      <c r="B130" s="13" t="s">
        <v>162</v>
      </c>
      <c r="C130" s="106">
        <v>2944190</v>
      </c>
      <c r="D130" s="158" t="s">
        <v>121</v>
      </c>
      <c r="E130" s="149" t="s">
        <v>217</v>
      </c>
      <c r="F130" s="149">
        <v>876</v>
      </c>
      <c r="G130" s="13" t="s">
        <v>294</v>
      </c>
      <c r="H130" s="13">
        <v>1</v>
      </c>
      <c r="I130" s="144" t="s">
        <v>274</v>
      </c>
      <c r="J130" s="13" t="s">
        <v>161</v>
      </c>
      <c r="K130" s="145">
        <f>58.5*2</f>
        <v>117</v>
      </c>
      <c r="L130" s="14" t="s">
        <v>258</v>
      </c>
      <c r="M130" s="14">
        <v>2012</v>
      </c>
      <c r="N130" s="13">
        <v>6</v>
      </c>
      <c r="O130" s="13"/>
      <c r="P130" s="71"/>
      <c r="Q130" s="71"/>
      <c r="R130" s="8" t="s">
        <v>4</v>
      </c>
      <c r="S130" s="82"/>
      <c r="T130" s="10">
        <f t="shared" si="13"/>
        <v>0</v>
      </c>
      <c r="U130" s="10">
        <v>0</v>
      </c>
      <c r="V130" s="10"/>
      <c r="W130" s="10">
        <f t="shared" si="14"/>
        <v>58.5</v>
      </c>
      <c r="X130" s="10">
        <v>58.5</v>
      </c>
      <c r="Y130" s="10"/>
      <c r="Z130" s="28">
        <f t="shared" si="15"/>
        <v>58.5</v>
      </c>
      <c r="AA130" s="31">
        <f t="shared" si="18"/>
        <v>58.5</v>
      </c>
      <c r="AB130" s="28">
        <f t="shared" si="18"/>
        <v>0</v>
      </c>
      <c r="AC130" s="5">
        <f t="shared" si="19"/>
        <v>58.5</v>
      </c>
      <c r="AE130" s="5"/>
      <c r="AG130" s="5">
        <f t="shared" si="16"/>
        <v>-58.5</v>
      </c>
      <c r="AH130" s="10"/>
      <c r="AI130" s="5">
        <f t="shared" si="17"/>
        <v>-117</v>
      </c>
    </row>
    <row r="131" spans="1:35" ht="15.75">
      <c r="A131" s="134">
        <v>101</v>
      </c>
      <c r="B131" s="13" t="s">
        <v>162</v>
      </c>
      <c r="C131" s="106">
        <v>6511030</v>
      </c>
      <c r="D131" s="158" t="s">
        <v>122</v>
      </c>
      <c r="E131" s="13" t="s">
        <v>218</v>
      </c>
      <c r="F131" s="13">
        <v>876</v>
      </c>
      <c r="G131" s="13" t="s">
        <v>294</v>
      </c>
      <c r="H131" s="13">
        <v>1</v>
      </c>
      <c r="I131" s="144" t="s">
        <v>274</v>
      </c>
      <c r="J131" s="13" t="s">
        <v>161</v>
      </c>
      <c r="K131" s="145">
        <f>1</f>
        <v>1</v>
      </c>
      <c r="L131" s="14" t="s">
        <v>258</v>
      </c>
      <c r="M131" s="14">
        <v>2012</v>
      </c>
      <c r="N131" s="13">
        <v>6</v>
      </c>
      <c r="O131" s="13"/>
      <c r="P131" s="71"/>
      <c r="Q131" s="71"/>
      <c r="R131" s="8" t="s">
        <v>6</v>
      </c>
      <c r="S131" s="82"/>
      <c r="T131" s="10">
        <f t="shared" si="13"/>
        <v>1</v>
      </c>
      <c r="U131" s="10">
        <v>1</v>
      </c>
      <c r="V131" s="10"/>
      <c r="W131" s="10">
        <f t="shared" si="14"/>
        <v>1</v>
      </c>
      <c r="X131" s="10">
        <v>1</v>
      </c>
      <c r="Y131" s="10"/>
      <c r="Z131" s="28">
        <f t="shared" si="15"/>
        <v>0</v>
      </c>
      <c r="AA131" s="31">
        <f t="shared" si="18"/>
        <v>0</v>
      </c>
      <c r="AB131" s="28">
        <f t="shared" si="18"/>
        <v>0</v>
      </c>
      <c r="AC131" s="5">
        <f t="shared" si="19"/>
        <v>0</v>
      </c>
      <c r="AE131" s="5"/>
      <c r="AG131" s="5">
        <f t="shared" si="16"/>
        <v>0</v>
      </c>
      <c r="AH131" s="10"/>
      <c r="AI131" s="5">
        <f t="shared" si="17"/>
        <v>-1</v>
      </c>
    </row>
    <row r="132" spans="1:35" ht="15.75">
      <c r="A132" s="134">
        <v>102</v>
      </c>
      <c r="B132" s="13" t="s">
        <v>162</v>
      </c>
      <c r="C132" s="137">
        <v>3695000</v>
      </c>
      <c r="D132" s="158" t="s">
        <v>123</v>
      </c>
      <c r="E132" s="149" t="s">
        <v>219</v>
      </c>
      <c r="F132" s="149">
        <v>876</v>
      </c>
      <c r="G132" s="13" t="s">
        <v>294</v>
      </c>
      <c r="H132" s="13">
        <v>1</v>
      </c>
      <c r="I132" s="144" t="s">
        <v>274</v>
      </c>
      <c r="J132" s="13" t="s">
        <v>161</v>
      </c>
      <c r="K132" s="145">
        <v>19</v>
      </c>
      <c r="L132" s="14" t="s">
        <v>258</v>
      </c>
      <c r="M132" s="14">
        <v>2012</v>
      </c>
      <c r="N132" s="13">
        <v>6</v>
      </c>
      <c r="O132" s="13"/>
      <c r="P132" s="71"/>
      <c r="Q132" s="71"/>
      <c r="R132" s="8" t="s">
        <v>6</v>
      </c>
      <c r="S132" s="82"/>
      <c r="T132" s="10">
        <f t="shared" si="13"/>
        <v>0</v>
      </c>
      <c r="U132" s="10">
        <v>0</v>
      </c>
      <c r="V132" s="10"/>
      <c r="W132" s="10">
        <f t="shared" si="14"/>
        <v>19</v>
      </c>
      <c r="X132" s="10">
        <v>19</v>
      </c>
      <c r="Y132" s="10"/>
      <c r="Z132" s="28">
        <f t="shared" si="15"/>
        <v>19</v>
      </c>
      <c r="AA132" s="31">
        <f t="shared" si="18"/>
        <v>19</v>
      </c>
      <c r="AB132" s="28">
        <f t="shared" si="18"/>
        <v>0</v>
      </c>
      <c r="AC132" s="5">
        <f t="shared" si="19"/>
        <v>0</v>
      </c>
      <c r="AE132" s="5"/>
      <c r="AG132" s="5">
        <f t="shared" si="16"/>
        <v>-19</v>
      </c>
      <c r="AH132" s="10"/>
      <c r="AI132" s="5">
        <f t="shared" si="17"/>
        <v>-19</v>
      </c>
    </row>
    <row r="133" spans="1:35" ht="15.75">
      <c r="A133" s="134">
        <v>103</v>
      </c>
      <c r="B133" s="13" t="s">
        <v>162</v>
      </c>
      <c r="C133" s="106">
        <v>2423830</v>
      </c>
      <c r="D133" s="158" t="s">
        <v>124</v>
      </c>
      <c r="E133" s="149" t="s">
        <v>220</v>
      </c>
      <c r="F133" s="149">
        <v>876</v>
      </c>
      <c r="G133" s="13" t="s">
        <v>294</v>
      </c>
      <c r="H133" s="13">
        <v>1</v>
      </c>
      <c r="I133" s="144" t="s">
        <v>274</v>
      </c>
      <c r="J133" s="13" t="s">
        <v>161</v>
      </c>
      <c r="K133" s="145">
        <f>5+6</f>
        <v>11</v>
      </c>
      <c r="L133" s="14" t="s">
        <v>258</v>
      </c>
      <c r="M133" s="14">
        <v>2012</v>
      </c>
      <c r="N133" s="13">
        <v>6</v>
      </c>
      <c r="O133" s="13"/>
      <c r="P133" s="71"/>
      <c r="Q133" s="71"/>
      <c r="R133" s="8" t="s">
        <v>4</v>
      </c>
      <c r="S133" s="82"/>
      <c r="T133" s="10">
        <f t="shared" si="13"/>
        <v>0</v>
      </c>
      <c r="U133" s="10">
        <f>0+0</f>
        <v>0</v>
      </c>
      <c r="V133" s="10"/>
      <c r="W133" s="10">
        <f t="shared" si="14"/>
        <v>9.6358800000000002</v>
      </c>
      <c r="X133" s="10">
        <f>4.17588+5.46</f>
        <v>9.6358800000000002</v>
      </c>
      <c r="Y133" s="10"/>
      <c r="Z133" s="28">
        <f t="shared" si="15"/>
        <v>9.6358800000000002</v>
      </c>
      <c r="AA133" s="31">
        <f t="shared" si="18"/>
        <v>9.6358800000000002</v>
      </c>
      <c r="AB133" s="28">
        <f t="shared" si="18"/>
        <v>0</v>
      </c>
      <c r="AC133" s="5">
        <f t="shared" si="19"/>
        <v>1.3641199999999998</v>
      </c>
      <c r="AE133" s="5"/>
      <c r="AG133" s="5">
        <f t="shared" si="16"/>
        <v>-9.6358800000000002</v>
      </c>
      <c r="AH133" s="10"/>
      <c r="AI133" s="5">
        <f t="shared" si="17"/>
        <v>-11</v>
      </c>
    </row>
    <row r="134" spans="1:35" ht="15.75">
      <c r="A134" s="134">
        <v>104</v>
      </c>
      <c r="B134" s="13" t="s">
        <v>162</v>
      </c>
      <c r="C134" s="106">
        <v>3697494</v>
      </c>
      <c r="D134" s="158" t="s">
        <v>125</v>
      </c>
      <c r="E134" s="149" t="s">
        <v>221</v>
      </c>
      <c r="F134" s="149">
        <v>876</v>
      </c>
      <c r="G134" s="13" t="s">
        <v>294</v>
      </c>
      <c r="H134" s="13">
        <v>1</v>
      </c>
      <c r="I134" s="144" t="s">
        <v>274</v>
      </c>
      <c r="J134" s="13" t="s">
        <v>161</v>
      </c>
      <c r="K134" s="145">
        <v>80</v>
      </c>
      <c r="L134" s="14" t="s">
        <v>258</v>
      </c>
      <c r="M134" s="14">
        <v>2012</v>
      </c>
      <c r="N134" s="13">
        <v>6</v>
      </c>
      <c r="O134" s="13"/>
      <c r="P134" s="71"/>
      <c r="Q134" s="71"/>
      <c r="R134" s="8" t="s">
        <v>4</v>
      </c>
      <c r="S134" s="82"/>
      <c r="T134" s="10">
        <f t="shared" si="13"/>
        <v>0</v>
      </c>
      <c r="U134" s="10">
        <v>0</v>
      </c>
      <c r="V134" s="10"/>
      <c r="W134" s="10">
        <f t="shared" si="14"/>
        <v>69.795209999999997</v>
      </c>
      <c r="X134" s="10">
        <v>69.795209999999997</v>
      </c>
      <c r="Y134" s="10"/>
      <c r="Z134" s="28">
        <f t="shared" si="15"/>
        <v>69.795209999999997</v>
      </c>
      <c r="AA134" s="31">
        <f t="shared" si="18"/>
        <v>69.795209999999997</v>
      </c>
      <c r="AB134" s="28">
        <f t="shared" si="18"/>
        <v>0</v>
      </c>
      <c r="AC134" s="5">
        <f t="shared" si="19"/>
        <v>10.204790000000003</v>
      </c>
      <c r="AE134" s="5"/>
      <c r="AG134" s="5">
        <f t="shared" si="16"/>
        <v>-69.795209999999997</v>
      </c>
      <c r="AH134" s="10"/>
      <c r="AI134" s="5">
        <f t="shared" si="17"/>
        <v>-80</v>
      </c>
    </row>
    <row r="135" spans="1:35" ht="15.75">
      <c r="A135" s="134">
        <v>105</v>
      </c>
      <c r="B135" s="13" t="s">
        <v>162</v>
      </c>
      <c r="C135" s="106">
        <v>3695170</v>
      </c>
      <c r="D135" s="158" t="s">
        <v>126</v>
      </c>
      <c r="E135" s="149" t="s">
        <v>222</v>
      </c>
      <c r="F135" s="149">
        <v>876</v>
      </c>
      <c r="G135" s="13" t="s">
        <v>294</v>
      </c>
      <c r="H135" s="13">
        <v>1</v>
      </c>
      <c r="I135" s="144" t="s">
        <v>274</v>
      </c>
      <c r="J135" s="13" t="s">
        <v>161</v>
      </c>
      <c r="K135" s="145">
        <v>550</v>
      </c>
      <c r="L135" s="14" t="s">
        <v>258</v>
      </c>
      <c r="M135" s="14">
        <v>2012</v>
      </c>
      <c r="N135" s="13">
        <v>6</v>
      </c>
      <c r="O135" s="13"/>
      <c r="P135" s="71"/>
      <c r="Q135" s="71"/>
      <c r="R135" s="8" t="s">
        <v>4</v>
      </c>
      <c r="S135" s="82"/>
      <c r="T135" s="10">
        <f t="shared" si="13"/>
        <v>0</v>
      </c>
      <c r="U135" s="10">
        <v>0</v>
      </c>
      <c r="V135" s="10"/>
      <c r="W135" s="10">
        <f t="shared" si="14"/>
        <v>9</v>
      </c>
      <c r="X135" s="10">
        <v>9</v>
      </c>
      <c r="Y135" s="10"/>
      <c r="Z135" s="28">
        <f t="shared" si="15"/>
        <v>9</v>
      </c>
      <c r="AA135" s="31">
        <f t="shared" si="18"/>
        <v>9</v>
      </c>
      <c r="AB135" s="28">
        <f t="shared" si="18"/>
        <v>0</v>
      </c>
      <c r="AC135" s="5">
        <f t="shared" si="19"/>
        <v>541</v>
      </c>
      <c r="AE135" s="5"/>
      <c r="AG135" s="5">
        <f t="shared" si="16"/>
        <v>-9</v>
      </c>
      <c r="AH135" s="10"/>
      <c r="AI135" s="5">
        <f t="shared" si="17"/>
        <v>-550</v>
      </c>
    </row>
    <row r="136" spans="1:35" ht="31.5">
      <c r="A136" s="134">
        <v>106</v>
      </c>
      <c r="B136" s="13" t="s">
        <v>162</v>
      </c>
      <c r="C136" s="106">
        <v>3530000</v>
      </c>
      <c r="D136" s="158" t="s">
        <v>127</v>
      </c>
      <c r="E136" s="149" t="s">
        <v>223</v>
      </c>
      <c r="F136" s="149">
        <v>876</v>
      </c>
      <c r="G136" s="13" t="s">
        <v>294</v>
      </c>
      <c r="H136" s="13">
        <v>1</v>
      </c>
      <c r="I136" s="144" t="s">
        <v>274</v>
      </c>
      <c r="J136" s="13" t="s">
        <v>161</v>
      </c>
      <c r="K136" s="145">
        <v>600</v>
      </c>
      <c r="L136" s="14" t="s">
        <v>258</v>
      </c>
      <c r="M136" s="14">
        <v>2012</v>
      </c>
      <c r="N136" s="13">
        <v>6</v>
      </c>
      <c r="O136" s="13"/>
      <c r="P136" s="71"/>
      <c r="Q136" s="71"/>
      <c r="R136" s="8" t="s">
        <v>4</v>
      </c>
      <c r="S136" s="82"/>
      <c r="T136" s="10">
        <f t="shared" si="13"/>
        <v>0</v>
      </c>
      <c r="U136" s="10">
        <v>0</v>
      </c>
      <c r="V136" s="10"/>
      <c r="W136" s="10">
        <f t="shared" si="14"/>
        <v>476.14</v>
      </c>
      <c r="X136" s="10">
        <v>476.14</v>
      </c>
      <c r="Y136" s="10"/>
      <c r="Z136" s="28">
        <f t="shared" si="15"/>
        <v>476.14</v>
      </c>
      <c r="AA136" s="31">
        <f t="shared" si="18"/>
        <v>476.14</v>
      </c>
      <c r="AB136" s="28">
        <f t="shared" si="18"/>
        <v>0</v>
      </c>
      <c r="AC136" s="5">
        <f t="shared" si="19"/>
        <v>123.86000000000001</v>
      </c>
      <c r="AE136" s="5"/>
      <c r="AG136" s="5">
        <f t="shared" si="16"/>
        <v>-476.14</v>
      </c>
      <c r="AH136" s="10"/>
      <c r="AI136" s="5">
        <f t="shared" si="17"/>
        <v>-600</v>
      </c>
    </row>
    <row r="137" spans="1:35" ht="31.5">
      <c r="A137" s="134">
        <v>107</v>
      </c>
      <c r="B137" s="13" t="s">
        <v>162</v>
      </c>
      <c r="C137" s="106">
        <v>7430090</v>
      </c>
      <c r="D137" s="158" t="s">
        <v>128</v>
      </c>
      <c r="E137" s="13" t="s">
        <v>224</v>
      </c>
      <c r="F137" s="13">
        <v>876</v>
      </c>
      <c r="G137" s="13" t="s">
        <v>294</v>
      </c>
      <c r="H137" s="13">
        <v>1</v>
      </c>
      <c r="I137" s="144" t="s">
        <v>274</v>
      </c>
      <c r="J137" s="13" t="s">
        <v>161</v>
      </c>
      <c r="K137" s="145">
        <v>6</v>
      </c>
      <c r="L137" s="14" t="s">
        <v>258</v>
      </c>
      <c r="M137" s="14">
        <v>2012</v>
      </c>
      <c r="N137" s="13">
        <v>6</v>
      </c>
      <c r="O137" s="13"/>
      <c r="P137" s="71"/>
      <c r="Q137" s="71"/>
      <c r="R137" s="8" t="s">
        <v>6</v>
      </c>
      <c r="S137" s="82"/>
      <c r="T137" s="10">
        <f t="shared" si="13"/>
        <v>0.24199999999999999</v>
      </c>
      <c r="U137" s="10">
        <v>0</v>
      </c>
      <c r="V137" s="10">
        <v>0.24199999999999999</v>
      </c>
      <c r="W137" s="10">
        <f t="shared" si="14"/>
        <v>9.8970000000000002</v>
      </c>
      <c r="X137" s="10">
        <v>6</v>
      </c>
      <c r="Y137" s="10">
        <f>3.655+0.242</f>
        <v>3.8969999999999998</v>
      </c>
      <c r="Z137" s="28">
        <f t="shared" si="15"/>
        <v>9.6549999999999994</v>
      </c>
      <c r="AA137" s="31">
        <f t="shared" si="18"/>
        <v>6</v>
      </c>
      <c r="AB137" s="28">
        <f t="shared" si="18"/>
        <v>3.6549999999999998</v>
      </c>
      <c r="AC137" s="5">
        <f t="shared" si="19"/>
        <v>0</v>
      </c>
      <c r="AE137" s="5"/>
      <c r="AG137" s="5">
        <f t="shared" si="16"/>
        <v>-6</v>
      </c>
      <c r="AH137" s="10"/>
      <c r="AI137" s="5">
        <f t="shared" si="17"/>
        <v>-6</v>
      </c>
    </row>
    <row r="138" spans="1:35" ht="15.75">
      <c r="A138" s="134">
        <v>108</v>
      </c>
      <c r="B138" s="13" t="s">
        <v>162</v>
      </c>
      <c r="C138" s="106">
        <v>3230040</v>
      </c>
      <c r="D138" s="158" t="s">
        <v>129</v>
      </c>
      <c r="E138" s="13"/>
      <c r="F138" s="13">
        <v>876</v>
      </c>
      <c r="G138" s="13" t="s">
        <v>294</v>
      </c>
      <c r="H138" s="13">
        <v>1</v>
      </c>
      <c r="I138" s="144" t="s">
        <v>274</v>
      </c>
      <c r="J138" s="13" t="s">
        <v>161</v>
      </c>
      <c r="K138" s="145">
        <v>500</v>
      </c>
      <c r="L138" s="14" t="s">
        <v>258</v>
      </c>
      <c r="M138" s="14">
        <v>2012</v>
      </c>
      <c r="N138" s="13">
        <v>6</v>
      </c>
      <c r="O138" s="13"/>
      <c r="P138" s="71"/>
      <c r="Q138" s="71"/>
      <c r="R138" s="8" t="s">
        <v>4</v>
      </c>
      <c r="S138" s="82"/>
      <c r="T138" s="10">
        <f t="shared" si="13"/>
        <v>332.79</v>
      </c>
      <c r="U138" s="10">
        <v>332.79</v>
      </c>
      <c r="V138" s="10"/>
      <c r="W138" s="10">
        <f t="shared" si="14"/>
        <v>352.39</v>
      </c>
      <c r="X138" s="10">
        <v>352.39</v>
      </c>
      <c r="Y138" s="10"/>
      <c r="Z138" s="28">
        <f t="shared" si="15"/>
        <v>19.599999999999966</v>
      </c>
      <c r="AA138" s="31">
        <f t="shared" si="18"/>
        <v>19.599999999999966</v>
      </c>
      <c r="AB138" s="28">
        <f t="shared" si="18"/>
        <v>0</v>
      </c>
      <c r="AC138" s="5">
        <f t="shared" si="19"/>
        <v>147.61000000000001</v>
      </c>
      <c r="AE138" s="5"/>
      <c r="AG138" s="5">
        <f t="shared" si="16"/>
        <v>-19.599999999999966</v>
      </c>
      <c r="AH138" s="10"/>
      <c r="AI138" s="5">
        <f t="shared" si="17"/>
        <v>-500</v>
      </c>
    </row>
    <row r="139" spans="1:35" ht="15.75">
      <c r="A139" s="134">
        <v>109</v>
      </c>
      <c r="B139" s="13" t="s">
        <v>162</v>
      </c>
      <c r="C139" s="106">
        <v>6411010</v>
      </c>
      <c r="D139" s="158" t="s">
        <v>130</v>
      </c>
      <c r="E139" s="13" t="s">
        <v>225</v>
      </c>
      <c r="F139" s="13">
        <v>876</v>
      </c>
      <c r="G139" s="13" t="s">
        <v>294</v>
      </c>
      <c r="H139" s="13">
        <v>1</v>
      </c>
      <c r="I139" s="144" t="s">
        <v>274</v>
      </c>
      <c r="J139" s="13" t="s">
        <v>161</v>
      </c>
      <c r="K139" s="145">
        <f>300+150</f>
        <v>450</v>
      </c>
      <c r="L139" s="14" t="s">
        <v>258</v>
      </c>
      <c r="M139" s="14">
        <v>2012</v>
      </c>
      <c r="N139" s="13">
        <v>6</v>
      </c>
      <c r="O139" s="13"/>
      <c r="P139" s="71"/>
      <c r="Q139" s="71"/>
      <c r="R139" s="8" t="s">
        <v>4</v>
      </c>
      <c r="S139" s="82"/>
      <c r="T139" s="10">
        <f t="shared" si="13"/>
        <v>58.87265</v>
      </c>
      <c r="U139" s="10">
        <v>40</v>
      </c>
      <c r="V139" s="10">
        <v>18.87265</v>
      </c>
      <c r="W139" s="10">
        <f t="shared" si="14"/>
        <v>95.821680000000001</v>
      </c>
      <c r="X139" s="10">
        <v>45</v>
      </c>
      <c r="Y139" s="10">
        <v>50.821680000000001</v>
      </c>
      <c r="Z139" s="28">
        <f t="shared" si="15"/>
        <v>36.94903</v>
      </c>
      <c r="AA139" s="31">
        <f t="shared" si="18"/>
        <v>5</v>
      </c>
      <c r="AB139" s="28">
        <f t="shared" si="18"/>
        <v>31.94903</v>
      </c>
      <c r="AC139" s="5">
        <f t="shared" si="19"/>
        <v>405</v>
      </c>
      <c r="AE139" s="5"/>
      <c r="AG139" s="5">
        <f t="shared" si="16"/>
        <v>-5</v>
      </c>
      <c r="AH139" s="10">
        <f>[1]TDSheet!$J$3379</f>
        <v>318.05</v>
      </c>
      <c r="AI139" s="5">
        <f t="shared" si="17"/>
        <v>-131.94999999999999</v>
      </c>
    </row>
    <row r="140" spans="1:35" ht="15.75">
      <c r="A140" s="134">
        <v>110</v>
      </c>
      <c r="B140" s="13" t="s">
        <v>162</v>
      </c>
      <c r="C140" s="106">
        <v>7220000</v>
      </c>
      <c r="D140" s="158" t="s">
        <v>133</v>
      </c>
      <c r="E140" s="13" t="s">
        <v>226</v>
      </c>
      <c r="F140" s="13">
        <v>876</v>
      </c>
      <c r="G140" s="13" t="s">
        <v>294</v>
      </c>
      <c r="H140" s="13">
        <v>1</v>
      </c>
      <c r="I140" s="144" t="s">
        <v>274</v>
      </c>
      <c r="J140" s="13" t="s">
        <v>161</v>
      </c>
      <c r="K140" s="145">
        <v>100</v>
      </c>
      <c r="L140" s="14" t="s">
        <v>258</v>
      </c>
      <c r="M140" s="14">
        <v>2012</v>
      </c>
      <c r="N140" s="13">
        <v>6</v>
      </c>
      <c r="O140" s="13"/>
      <c r="P140" s="71"/>
      <c r="Q140" s="71"/>
      <c r="R140" s="8" t="s">
        <v>4</v>
      </c>
      <c r="S140" s="82"/>
      <c r="T140" s="10">
        <f t="shared" si="13"/>
        <v>9.9499999999999993</v>
      </c>
      <c r="U140" s="10">
        <v>9.9499999999999993</v>
      </c>
      <c r="V140" s="10"/>
      <c r="W140" s="10">
        <f t="shared" si="14"/>
        <v>9.9499999999999993</v>
      </c>
      <c r="X140" s="10">
        <v>9.9499999999999993</v>
      </c>
      <c r="Y140" s="10"/>
      <c r="Z140" s="28">
        <f t="shared" si="15"/>
        <v>0</v>
      </c>
      <c r="AA140" s="31">
        <f t="shared" si="18"/>
        <v>0</v>
      </c>
      <c r="AB140" s="28">
        <f t="shared" si="18"/>
        <v>0</v>
      </c>
      <c r="AC140" s="5">
        <f t="shared" si="19"/>
        <v>90.05</v>
      </c>
      <c r="AE140" s="5"/>
      <c r="AG140" s="5">
        <f t="shared" si="16"/>
        <v>0</v>
      </c>
      <c r="AH140" s="10"/>
      <c r="AI140" s="5">
        <f t="shared" si="17"/>
        <v>-100</v>
      </c>
    </row>
    <row r="141" spans="1:35" ht="31.5">
      <c r="A141" s="134">
        <v>111</v>
      </c>
      <c r="B141" s="13" t="s">
        <v>162</v>
      </c>
      <c r="C141" s="106">
        <v>1721060</v>
      </c>
      <c r="D141" s="158" t="s">
        <v>67</v>
      </c>
      <c r="E141" s="13" t="s">
        <v>182</v>
      </c>
      <c r="F141" s="13">
        <v>876</v>
      </c>
      <c r="G141" s="13" t="s">
        <v>294</v>
      </c>
      <c r="H141" s="13">
        <v>1</v>
      </c>
      <c r="I141" s="144" t="s">
        <v>274</v>
      </c>
      <c r="J141" s="150" t="s">
        <v>161</v>
      </c>
      <c r="K141" s="145">
        <f>300*10</f>
        <v>3000</v>
      </c>
      <c r="L141" s="14" t="s">
        <v>258</v>
      </c>
      <c r="M141" s="14">
        <v>2012</v>
      </c>
      <c r="N141" s="13">
        <v>5</v>
      </c>
      <c r="O141" s="13"/>
      <c r="P141" s="13"/>
      <c r="Q141" s="13"/>
      <c r="R141" s="85" t="s">
        <v>4</v>
      </c>
      <c r="S141" s="80"/>
      <c r="T141" s="26">
        <f t="shared" si="13"/>
        <v>0</v>
      </c>
      <c r="U141" s="26"/>
      <c r="V141" s="26"/>
      <c r="W141" s="26">
        <f t="shared" si="14"/>
        <v>0</v>
      </c>
      <c r="X141" s="26"/>
      <c r="Y141" s="26"/>
      <c r="Z141" s="28">
        <f t="shared" si="15"/>
        <v>0</v>
      </c>
      <c r="AA141" s="31">
        <f t="shared" si="18"/>
        <v>0</v>
      </c>
      <c r="AB141" s="28">
        <f t="shared" si="18"/>
        <v>0</v>
      </c>
      <c r="AC141" s="5">
        <f t="shared" si="19"/>
        <v>3000</v>
      </c>
      <c r="AE141" s="5">
        <f>K141-AC141</f>
        <v>0</v>
      </c>
      <c r="AG141" s="5">
        <f t="shared" si="16"/>
        <v>0</v>
      </c>
      <c r="AH141" s="10"/>
      <c r="AI141" s="5">
        <f t="shared" si="17"/>
        <v>-3000</v>
      </c>
    </row>
    <row r="142" spans="1:35" ht="32.25" thickBot="1">
      <c r="A142" s="134">
        <v>112</v>
      </c>
      <c r="B142" s="36" t="s">
        <v>162</v>
      </c>
      <c r="C142" s="138">
        <v>755630</v>
      </c>
      <c r="D142" s="159" t="s">
        <v>68</v>
      </c>
      <c r="E142" s="36" t="s">
        <v>207</v>
      </c>
      <c r="F142" s="36">
        <v>876</v>
      </c>
      <c r="G142" s="36" t="s">
        <v>294</v>
      </c>
      <c r="H142" s="36">
        <v>1</v>
      </c>
      <c r="I142" s="151" t="s">
        <v>274</v>
      </c>
      <c r="J142" s="152" t="s">
        <v>161</v>
      </c>
      <c r="K142" s="153">
        <f>(280/3*0.5)*90</f>
        <v>4200</v>
      </c>
      <c r="L142" s="38" t="s">
        <v>258</v>
      </c>
      <c r="M142" s="38">
        <v>2012</v>
      </c>
      <c r="N142" s="36">
        <v>5</v>
      </c>
      <c r="O142" s="36"/>
      <c r="P142" s="36"/>
      <c r="Q142" s="36"/>
      <c r="R142" s="86" t="s">
        <v>4</v>
      </c>
      <c r="S142" s="83"/>
      <c r="T142" s="29">
        <f t="shared" si="13"/>
        <v>0</v>
      </c>
      <c r="U142" s="29"/>
      <c r="V142" s="29"/>
      <c r="W142" s="29">
        <f t="shared" si="14"/>
        <v>0</v>
      </c>
      <c r="X142" s="29"/>
      <c r="Y142" s="29"/>
      <c r="Z142" s="30">
        <f t="shared" si="15"/>
        <v>0</v>
      </c>
      <c r="AA142" s="32">
        <f t="shared" si="18"/>
        <v>0</v>
      </c>
      <c r="AB142" s="30">
        <f t="shared" si="18"/>
        <v>0</v>
      </c>
      <c r="AC142" s="5">
        <f t="shared" si="19"/>
        <v>4200</v>
      </c>
      <c r="AE142" s="5">
        <f>K142-AC142</f>
        <v>0</v>
      </c>
      <c r="AG142" s="5">
        <f t="shared" si="16"/>
        <v>0</v>
      </c>
      <c r="AH142" s="37"/>
      <c r="AI142" s="5">
        <f t="shared" si="17"/>
        <v>-4200</v>
      </c>
    </row>
    <row r="143" spans="1:35" ht="16.5" thickBot="1">
      <c r="A143" s="192" t="s">
        <v>69</v>
      </c>
      <c r="B143" s="193"/>
      <c r="C143" s="193"/>
      <c r="D143" s="160"/>
      <c r="E143" s="154"/>
      <c r="F143" s="154"/>
      <c r="G143" s="154"/>
      <c r="H143" s="154"/>
      <c r="I143" s="155"/>
      <c r="J143" s="154"/>
      <c r="K143" s="139">
        <f>K23+K24+K25+K26+K27+K28+K31+K32+K33++K36+K37+K38+K39+K40+K41+K42+K43+K44+K45+K46+K47+K48+K49+K50+K51+K52+K53+K54+K55+K56+K57+K58+K59+K60+K61+K62+K64+K65+K66+K67+K76+K77+K78++K79+K80+K81+K84+K85+K86+K87+K88+K89+K90+K91+K92+K93+K94+K97+K98+K99+K100+K101+K102+K103+K141+K142+K29+K30+K34++K35+K63+K82+K83+K104+K105+K106+K107+K108+K109+K110+K111+K112+K113+K114+K115+K116+K117+K118+K119+K120+K121+K122+K123+K124+K125+K126+K127+K128+K129+K95+K96+K130+K131+K132+K133+K134+K135+K136+K137+K138+K139+K140</f>
        <v>791117.76292999997</v>
      </c>
      <c r="L143" s="140"/>
      <c r="M143" s="141"/>
      <c r="N143" s="142"/>
      <c r="O143" s="142"/>
      <c r="P143" s="98"/>
      <c r="Q143" s="98"/>
      <c r="R143" s="97"/>
      <c r="S143" s="87">
        <f t="shared" ref="S143:AB143" si="20">S23+S24+S25+S26+S27+S28+S31+S32+S33++S36+S37+S38+S39+S40+S41+S42+S43+S44+S45+S46+S47+S48+S49+S50+S51+S52+S53+S54+S55+S56+S57+S58+S59+S60+S61+S62+S64+S65+S66+S67+S76+S77+S78++S79+S80+S81+S84+S85+S86+S87+S88+S89+S90+S91+S92+S93+S94+S97+S98+S99+S100+S101+S102+S103+S141+S142+S29+S30+S34++S35+S63+S82+S83+S104+S105+S106+S107+S108+S109+S110+S111+S112+S113+S114+S115+S116+S117+S118+S119+S120+S121+S122+S123+S124+S125+S126+S127+S128+S129+S95+S96+S130+S131+S132+S133+S134+S135+S136+S137+S138+S139+S140</f>
        <v>37524.089220000009</v>
      </c>
      <c r="T143" s="49">
        <f t="shared" si="20"/>
        <v>31826.216679999994</v>
      </c>
      <c r="U143" s="49">
        <f t="shared" si="20"/>
        <v>31209.126919999995</v>
      </c>
      <c r="V143" s="49">
        <f t="shared" si="20"/>
        <v>617.08976000000007</v>
      </c>
      <c r="W143" s="49">
        <f t="shared" si="20"/>
        <v>48939.761679999996</v>
      </c>
      <c r="X143" s="49">
        <f t="shared" si="20"/>
        <v>47803.247979999993</v>
      </c>
      <c r="Y143" s="49">
        <f t="shared" si="20"/>
        <v>1136.5137</v>
      </c>
      <c r="Z143" s="52">
        <f t="shared" si="20"/>
        <v>17113.544999999998</v>
      </c>
      <c r="AA143" s="47">
        <f t="shared" si="20"/>
        <v>16594.121060000001</v>
      </c>
      <c r="AB143" s="25">
        <f t="shared" si="20"/>
        <v>519.42394000000002</v>
      </c>
      <c r="AC143" s="5">
        <f t="shared" si="19"/>
        <v>743314.51494999998</v>
      </c>
      <c r="AE143" s="5"/>
      <c r="AG143" s="5">
        <f t="shared" si="16"/>
        <v>-16594.121059999998</v>
      </c>
      <c r="AH143" s="95">
        <f>AH23+AH24+AH25+AH26+AH27+AH28+AH31+AH32+AH33++AH36+AH37+AH38+AH39+AH40+AH41+AH42+AH43+AH44+AH45+AH46+AH47+AH48+AH49+AH50+AH51+AH52+AH53+AH54+AH55+AH56+AH57+AH58+AH59+AH60+AH61+AH62+AH64+AH65+AH66+AH67+AH76+AH77+AH78++AH79+AH80+AH81+AH84+AH85+AH86+AH87+AH88+AH89+AH90+AH91+AH92+AH93+AH94+AH97+AH98+AH99+AH100+AH101+AH102+AH103+AH141+AH142+AH29+AH30+AH34++AH35+AH63+AH82+AH83+AH104+AH105+AH106+AH107+AH108+AH109+AH110+AH111+AH112+AH113+AH114+AH115+AH116+AH117+AH118+AH119+AH120+AH121+AH122+AH123+AH124+AH125+AH126+AH127+AH128+AH129+AH95+AH96+AH130+AH131+AH132+AH133+AH134+AH135+AH136+AH137+AH138+AH139+AH140</f>
        <v>557808.07000000018</v>
      </c>
      <c r="AI143" s="5">
        <f t="shared" si="17"/>
        <v>-233309.69292999979</v>
      </c>
    </row>
    <row r="144" spans="1:35" ht="32.25" thickBot="1">
      <c r="A144" s="131">
        <v>113</v>
      </c>
      <c r="B144" s="101" t="s">
        <v>162</v>
      </c>
      <c r="C144" s="104">
        <v>3410330</v>
      </c>
      <c r="D144" s="161" t="s">
        <v>248</v>
      </c>
      <c r="E144" s="101" t="s">
        <v>182</v>
      </c>
      <c r="F144" s="101">
        <v>796</v>
      </c>
      <c r="G144" s="101" t="s">
        <v>257</v>
      </c>
      <c r="H144" s="101">
        <f>12</f>
        <v>12</v>
      </c>
      <c r="I144" s="132" t="s">
        <v>274</v>
      </c>
      <c r="J144" s="156" t="s">
        <v>161</v>
      </c>
      <c r="K144" s="143">
        <f>27540</f>
        <v>27540</v>
      </c>
      <c r="L144" s="100" t="s">
        <v>258</v>
      </c>
      <c r="M144" s="100">
        <v>2012</v>
      </c>
      <c r="N144" s="101">
        <v>6</v>
      </c>
      <c r="O144" s="101"/>
      <c r="P144" s="101"/>
      <c r="Q144" s="101"/>
      <c r="R144" s="102" t="s">
        <v>4</v>
      </c>
      <c r="S144" s="83"/>
      <c r="T144" s="29">
        <f>U144+V144</f>
        <v>0</v>
      </c>
      <c r="U144" s="29"/>
      <c r="V144" s="29"/>
      <c r="W144" s="29">
        <f>X144++Y144</f>
        <v>0</v>
      </c>
      <c r="X144" s="29"/>
      <c r="Y144" s="29"/>
      <c r="Z144" s="30">
        <f>AA144+AB144</f>
        <v>0</v>
      </c>
      <c r="AA144" s="32">
        <f>X144-U144</f>
        <v>0</v>
      </c>
      <c r="AB144" s="30">
        <f>Y144-V144</f>
        <v>0</v>
      </c>
      <c r="AC144" s="5">
        <f>K144-X144</f>
        <v>27540</v>
      </c>
      <c r="AE144" s="5">
        <f>K144-AC144</f>
        <v>0</v>
      </c>
      <c r="AG144" s="5">
        <f>U144-X144</f>
        <v>0</v>
      </c>
      <c r="AH144" s="99"/>
      <c r="AI144" s="5">
        <f t="shared" si="17"/>
        <v>-27540</v>
      </c>
    </row>
    <row r="145" spans="1:35" ht="31.5">
      <c r="A145" s="134">
        <v>114</v>
      </c>
      <c r="B145" s="13" t="s">
        <v>229</v>
      </c>
      <c r="C145" s="105">
        <v>3410010</v>
      </c>
      <c r="D145" s="161" t="s">
        <v>249</v>
      </c>
      <c r="E145" s="13" t="s">
        <v>182</v>
      </c>
      <c r="F145" s="13">
        <v>796</v>
      </c>
      <c r="G145" s="13" t="s">
        <v>257</v>
      </c>
      <c r="H145" s="13">
        <f>12+5</f>
        <v>17</v>
      </c>
      <c r="I145" s="144" t="s">
        <v>274</v>
      </c>
      <c r="J145" s="150" t="s">
        <v>161</v>
      </c>
      <c r="K145" s="145">
        <f>13080+4963.7</f>
        <v>18043.7</v>
      </c>
      <c r="L145" s="14" t="s">
        <v>258</v>
      </c>
      <c r="M145" s="14">
        <v>2012</v>
      </c>
      <c r="N145" s="13">
        <v>6</v>
      </c>
      <c r="O145" s="13"/>
      <c r="P145" s="13"/>
      <c r="Q145" s="13"/>
      <c r="R145" s="85" t="s">
        <v>4</v>
      </c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5"/>
      <c r="AE145" s="5"/>
      <c r="AG145" s="5"/>
      <c r="AH145" s="10"/>
      <c r="AI145" s="5">
        <f t="shared" si="17"/>
        <v>-18043.7</v>
      </c>
    </row>
    <row r="146" spans="1:35" ht="31.5">
      <c r="A146" s="134">
        <v>115</v>
      </c>
      <c r="B146" s="13" t="s">
        <v>230</v>
      </c>
      <c r="C146" s="105">
        <v>2920000</v>
      </c>
      <c r="D146" s="161" t="s">
        <v>250</v>
      </c>
      <c r="E146" s="13" t="s">
        <v>182</v>
      </c>
      <c r="F146" s="13">
        <v>796</v>
      </c>
      <c r="G146" s="13" t="s">
        <v>257</v>
      </c>
      <c r="H146" s="13">
        <f>4</f>
        <v>4</v>
      </c>
      <c r="I146" s="144" t="s">
        <v>274</v>
      </c>
      <c r="J146" s="150" t="s">
        <v>161</v>
      </c>
      <c r="K146" s="145">
        <f>19784</f>
        <v>19784</v>
      </c>
      <c r="L146" s="14" t="s">
        <v>258</v>
      </c>
      <c r="M146" s="14">
        <v>2012</v>
      </c>
      <c r="N146" s="13">
        <v>6</v>
      </c>
      <c r="O146" s="13"/>
      <c r="P146" s="13"/>
      <c r="Q146" s="13"/>
      <c r="R146" s="85" t="s">
        <v>4</v>
      </c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5"/>
      <c r="AE146" s="5"/>
      <c r="AG146" s="5"/>
      <c r="AH146" s="10"/>
      <c r="AI146" s="5">
        <f t="shared" si="17"/>
        <v>-19784</v>
      </c>
    </row>
    <row r="147" spans="1:35" ht="31.5">
      <c r="A147" s="134">
        <v>116</v>
      </c>
      <c r="B147" s="13" t="s">
        <v>231</v>
      </c>
      <c r="C147" s="105">
        <v>2920000</v>
      </c>
      <c r="D147" s="161" t="s">
        <v>251</v>
      </c>
      <c r="E147" s="13" t="s">
        <v>182</v>
      </c>
      <c r="F147" s="13">
        <v>796</v>
      </c>
      <c r="G147" s="13" t="s">
        <v>257</v>
      </c>
      <c r="H147" s="13">
        <f>6</f>
        <v>6</v>
      </c>
      <c r="I147" s="144" t="s">
        <v>274</v>
      </c>
      <c r="J147" s="150" t="s">
        <v>161</v>
      </c>
      <c r="K147" s="145">
        <f>32542.26</f>
        <v>32542.26</v>
      </c>
      <c r="L147" s="14" t="s">
        <v>258</v>
      </c>
      <c r="M147" s="14">
        <v>2012</v>
      </c>
      <c r="N147" s="13">
        <v>6</v>
      </c>
      <c r="O147" s="13"/>
      <c r="P147" s="13"/>
      <c r="Q147" s="13"/>
      <c r="R147" s="85" t="s">
        <v>4</v>
      </c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5"/>
      <c r="AE147" s="5"/>
      <c r="AG147" s="5"/>
      <c r="AH147" s="10"/>
      <c r="AI147" s="5">
        <f t="shared" si="17"/>
        <v>-32542.26</v>
      </c>
    </row>
    <row r="148" spans="1:35" ht="31.5">
      <c r="A148" s="134">
        <v>117</v>
      </c>
      <c r="B148" s="13" t="s">
        <v>232</v>
      </c>
      <c r="C148" s="105">
        <v>2920000</v>
      </c>
      <c r="D148" s="161" t="s">
        <v>252</v>
      </c>
      <c r="E148" s="13" t="s">
        <v>182</v>
      </c>
      <c r="F148" s="13">
        <v>796</v>
      </c>
      <c r="G148" s="13" t="s">
        <v>257</v>
      </c>
      <c r="H148" s="13">
        <f>6</f>
        <v>6</v>
      </c>
      <c r="I148" s="144" t="s">
        <v>274</v>
      </c>
      <c r="J148" s="150" t="s">
        <v>161</v>
      </c>
      <c r="K148" s="145">
        <f>23215.2</f>
        <v>23215.200000000001</v>
      </c>
      <c r="L148" s="14" t="s">
        <v>258</v>
      </c>
      <c r="M148" s="14">
        <v>2012</v>
      </c>
      <c r="N148" s="13">
        <v>6</v>
      </c>
      <c r="O148" s="13"/>
      <c r="P148" s="13"/>
      <c r="Q148" s="13"/>
      <c r="R148" s="85" t="s">
        <v>4</v>
      </c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5"/>
      <c r="AE148" s="5"/>
      <c r="AG148" s="5"/>
      <c r="AH148" s="10"/>
      <c r="AI148" s="5">
        <f t="shared" si="17"/>
        <v>-23215.200000000001</v>
      </c>
    </row>
    <row r="149" spans="1:35" ht="31.5">
      <c r="A149" s="134">
        <v>118</v>
      </c>
      <c r="B149" s="13" t="s">
        <v>233</v>
      </c>
      <c r="C149" s="105">
        <v>3410040</v>
      </c>
      <c r="D149" s="161" t="s">
        <v>253</v>
      </c>
      <c r="E149" s="13" t="s">
        <v>182</v>
      </c>
      <c r="F149" s="13">
        <v>796</v>
      </c>
      <c r="G149" s="13" t="s">
        <v>257</v>
      </c>
      <c r="H149" s="13">
        <f>9</f>
        <v>9</v>
      </c>
      <c r="I149" s="144" t="s">
        <v>274</v>
      </c>
      <c r="J149" s="150" t="s">
        <v>161</v>
      </c>
      <c r="K149" s="145">
        <f>20856.6</f>
        <v>20856.599999999999</v>
      </c>
      <c r="L149" s="14" t="s">
        <v>258</v>
      </c>
      <c r="M149" s="14">
        <v>2012</v>
      </c>
      <c r="N149" s="13">
        <v>6</v>
      </c>
      <c r="O149" s="13"/>
      <c r="P149" s="13"/>
      <c r="Q149" s="13"/>
      <c r="R149" s="85" t="s">
        <v>4</v>
      </c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5"/>
      <c r="AE149" s="5"/>
      <c r="AG149" s="5"/>
      <c r="AH149" s="10"/>
      <c r="AI149" s="5">
        <f t="shared" si="17"/>
        <v>-20856.599999999999</v>
      </c>
    </row>
    <row r="150" spans="1:35" ht="31.5">
      <c r="A150" s="134">
        <v>119</v>
      </c>
      <c r="B150" s="13" t="s">
        <v>234</v>
      </c>
      <c r="C150" s="105">
        <v>3410040</v>
      </c>
      <c r="D150" s="161" t="s">
        <v>254</v>
      </c>
      <c r="E150" s="13" t="s">
        <v>182</v>
      </c>
      <c r="F150" s="13">
        <v>796</v>
      </c>
      <c r="G150" s="13" t="s">
        <v>257</v>
      </c>
      <c r="H150" s="13">
        <f>9</f>
        <v>9</v>
      </c>
      <c r="I150" s="144" t="s">
        <v>274</v>
      </c>
      <c r="J150" s="150" t="s">
        <v>161</v>
      </c>
      <c r="K150" s="145">
        <f>4023</f>
        <v>4023</v>
      </c>
      <c r="L150" s="14" t="s">
        <v>258</v>
      </c>
      <c r="M150" s="14">
        <v>2012</v>
      </c>
      <c r="N150" s="13">
        <v>6</v>
      </c>
      <c r="O150" s="13"/>
      <c r="P150" s="13"/>
      <c r="Q150" s="13"/>
      <c r="R150" s="85" t="s">
        <v>4</v>
      </c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5"/>
      <c r="AE150" s="5"/>
      <c r="AG150" s="5"/>
      <c r="AH150" s="10"/>
      <c r="AI150" s="5">
        <f t="shared" si="17"/>
        <v>-4023</v>
      </c>
    </row>
    <row r="151" spans="1:35" ht="31.5">
      <c r="A151" s="134">
        <v>120</v>
      </c>
      <c r="B151" s="13" t="s">
        <v>235</v>
      </c>
      <c r="C151" s="105">
        <v>3410040</v>
      </c>
      <c r="D151" s="161" t="s">
        <v>259</v>
      </c>
      <c r="E151" s="13" t="s">
        <v>182</v>
      </c>
      <c r="F151" s="13">
        <v>796</v>
      </c>
      <c r="G151" s="13" t="s">
        <v>257</v>
      </c>
      <c r="H151" s="13">
        <f>3</f>
        <v>3</v>
      </c>
      <c r="I151" s="144" t="s">
        <v>274</v>
      </c>
      <c r="J151" s="150" t="s">
        <v>161</v>
      </c>
      <c r="K151" s="145">
        <f>9261</f>
        <v>9261</v>
      </c>
      <c r="L151" s="14" t="s">
        <v>258</v>
      </c>
      <c r="M151" s="14">
        <v>2012</v>
      </c>
      <c r="N151" s="13">
        <v>6</v>
      </c>
      <c r="O151" s="13"/>
      <c r="P151" s="13"/>
      <c r="Q151" s="13"/>
      <c r="R151" s="85" t="s">
        <v>4</v>
      </c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5"/>
      <c r="AE151" s="5"/>
      <c r="AG151" s="5"/>
      <c r="AH151" s="10"/>
      <c r="AI151" s="5">
        <f t="shared" si="17"/>
        <v>-9261</v>
      </c>
    </row>
    <row r="152" spans="1:35" ht="31.5">
      <c r="A152" s="134">
        <v>121</v>
      </c>
      <c r="B152" s="13" t="s">
        <v>235</v>
      </c>
      <c r="C152" s="105">
        <v>3410040</v>
      </c>
      <c r="D152" s="161" t="s">
        <v>260</v>
      </c>
      <c r="E152" s="13" t="s">
        <v>182</v>
      </c>
      <c r="F152" s="13">
        <v>796</v>
      </c>
      <c r="G152" s="13" t="s">
        <v>257</v>
      </c>
      <c r="H152" s="13">
        <f>3</f>
        <v>3</v>
      </c>
      <c r="I152" s="144" t="s">
        <v>274</v>
      </c>
      <c r="J152" s="150" t="s">
        <v>161</v>
      </c>
      <c r="K152" s="145">
        <f>4170</f>
        <v>4170</v>
      </c>
      <c r="L152" s="14" t="s">
        <v>258</v>
      </c>
      <c r="M152" s="14">
        <v>2012</v>
      </c>
      <c r="N152" s="13">
        <v>6</v>
      </c>
      <c r="O152" s="13"/>
      <c r="P152" s="13"/>
      <c r="Q152" s="13"/>
      <c r="R152" s="85" t="s">
        <v>4</v>
      </c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5"/>
      <c r="AE152" s="5"/>
      <c r="AG152" s="5"/>
      <c r="AH152" s="10"/>
      <c r="AI152" s="5">
        <f t="shared" ref="AI152:AI168" si="21">AH152-K152</f>
        <v>-4170</v>
      </c>
    </row>
    <row r="153" spans="1:35" ht="31.5">
      <c r="A153" s="134">
        <v>122</v>
      </c>
      <c r="B153" s="13" t="s">
        <v>235</v>
      </c>
      <c r="C153" s="105">
        <v>2920000</v>
      </c>
      <c r="D153" s="161" t="s">
        <v>264</v>
      </c>
      <c r="E153" s="13" t="s">
        <v>182</v>
      </c>
      <c r="F153" s="13">
        <v>796</v>
      </c>
      <c r="G153" s="13" t="s">
        <v>257</v>
      </c>
      <c r="H153" s="13">
        <f>2</f>
        <v>2</v>
      </c>
      <c r="I153" s="144" t="s">
        <v>274</v>
      </c>
      <c r="J153" s="150" t="s">
        <v>161</v>
      </c>
      <c r="K153" s="145">
        <f>1253.5</f>
        <v>1253.5</v>
      </c>
      <c r="L153" s="14" t="s">
        <v>258</v>
      </c>
      <c r="M153" s="14">
        <v>2012</v>
      </c>
      <c r="N153" s="13">
        <v>6</v>
      </c>
      <c r="O153" s="13"/>
      <c r="P153" s="13"/>
      <c r="Q153" s="13"/>
      <c r="R153" s="85" t="s">
        <v>4</v>
      </c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5"/>
      <c r="AE153" s="5"/>
      <c r="AG153" s="5"/>
      <c r="AH153" s="10"/>
      <c r="AI153" s="5">
        <f t="shared" si="21"/>
        <v>-1253.5</v>
      </c>
    </row>
    <row r="154" spans="1:35" ht="31.5">
      <c r="A154" s="134">
        <v>123</v>
      </c>
      <c r="B154" s="13" t="s">
        <v>236</v>
      </c>
      <c r="C154" s="105">
        <v>2920000</v>
      </c>
      <c r="D154" s="161" t="s">
        <v>255</v>
      </c>
      <c r="E154" s="13" t="s">
        <v>182</v>
      </c>
      <c r="F154" s="13">
        <v>796</v>
      </c>
      <c r="G154" s="13" t="s">
        <v>257</v>
      </c>
      <c r="H154" s="13">
        <f>9</f>
        <v>9</v>
      </c>
      <c r="I154" s="144" t="s">
        <v>274</v>
      </c>
      <c r="J154" s="150" t="s">
        <v>161</v>
      </c>
      <c r="K154" s="145">
        <f>10395</f>
        <v>10395</v>
      </c>
      <c r="L154" s="14" t="s">
        <v>258</v>
      </c>
      <c r="M154" s="14">
        <v>2012</v>
      </c>
      <c r="N154" s="13">
        <v>6</v>
      </c>
      <c r="O154" s="13"/>
      <c r="P154" s="13"/>
      <c r="Q154" s="13"/>
      <c r="R154" s="85" t="s">
        <v>4</v>
      </c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5"/>
      <c r="AE154" s="5"/>
      <c r="AG154" s="5"/>
      <c r="AH154" s="10"/>
      <c r="AI154" s="5">
        <f t="shared" si="21"/>
        <v>-10395</v>
      </c>
    </row>
    <row r="155" spans="1:35" ht="31.5">
      <c r="A155" s="134">
        <v>124</v>
      </c>
      <c r="B155" s="13" t="s">
        <v>236</v>
      </c>
      <c r="C155" s="105">
        <v>2920000</v>
      </c>
      <c r="D155" s="161" t="s">
        <v>255</v>
      </c>
      <c r="E155" s="13" t="s">
        <v>182</v>
      </c>
      <c r="F155" s="13">
        <v>796</v>
      </c>
      <c r="G155" s="13" t="s">
        <v>257</v>
      </c>
      <c r="H155" s="13">
        <f>9</f>
        <v>9</v>
      </c>
      <c r="I155" s="144" t="s">
        <v>274</v>
      </c>
      <c r="J155" s="150" t="s">
        <v>161</v>
      </c>
      <c r="K155" s="145">
        <f>6192</f>
        <v>6192</v>
      </c>
      <c r="L155" s="14" t="s">
        <v>258</v>
      </c>
      <c r="M155" s="14">
        <v>2012</v>
      </c>
      <c r="N155" s="13">
        <v>6</v>
      </c>
      <c r="O155" s="13"/>
      <c r="P155" s="13"/>
      <c r="Q155" s="13"/>
      <c r="R155" s="85" t="s">
        <v>4</v>
      </c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5"/>
      <c r="AE155" s="5"/>
      <c r="AG155" s="5"/>
      <c r="AH155" s="10"/>
      <c r="AI155" s="5">
        <f t="shared" si="21"/>
        <v>-6192</v>
      </c>
    </row>
    <row r="156" spans="1:35" ht="31.5">
      <c r="A156" s="134">
        <v>125</v>
      </c>
      <c r="B156" s="13" t="s">
        <v>237</v>
      </c>
      <c r="C156" s="105">
        <v>3410040</v>
      </c>
      <c r="D156" s="161" t="s">
        <v>256</v>
      </c>
      <c r="E156" s="13" t="s">
        <v>182</v>
      </c>
      <c r="F156" s="13">
        <v>796</v>
      </c>
      <c r="G156" s="13" t="s">
        <v>257</v>
      </c>
      <c r="H156" s="13">
        <f>5</f>
        <v>5</v>
      </c>
      <c r="I156" s="144" t="s">
        <v>274</v>
      </c>
      <c r="J156" s="150" t="s">
        <v>161</v>
      </c>
      <c r="K156" s="145">
        <f>11795.04</f>
        <v>11795.04</v>
      </c>
      <c r="L156" s="14" t="s">
        <v>258</v>
      </c>
      <c r="M156" s="14">
        <v>2012</v>
      </c>
      <c r="N156" s="13">
        <v>6</v>
      </c>
      <c r="O156" s="13"/>
      <c r="P156" s="13"/>
      <c r="Q156" s="13"/>
      <c r="R156" s="85" t="s">
        <v>4</v>
      </c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5"/>
      <c r="AE156" s="5"/>
      <c r="AG156" s="5"/>
      <c r="AH156" s="10"/>
      <c r="AI156" s="5">
        <f t="shared" si="21"/>
        <v>-11795.04</v>
      </c>
    </row>
    <row r="157" spans="1:35" ht="31.5">
      <c r="A157" s="134">
        <v>126</v>
      </c>
      <c r="B157" s="13" t="s">
        <v>238</v>
      </c>
      <c r="C157" s="106">
        <v>2921012</v>
      </c>
      <c r="D157" s="162" t="s">
        <v>265</v>
      </c>
      <c r="E157" s="13" t="s">
        <v>182</v>
      </c>
      <c r="F157" s="13">
        <v>796</v>
      </c>
      <c r="G157" s="13" t="s">
        <v>257</v>
      </c>
      <c r="H157" s="13">
        <f>4</f>
        <v>4</v>
      </c>
      <c r="I157" s="144" t="s">
        <v>274</v>
      </c>
      <c r="J157" s="150" t="s">
        <v>161</v>
      </c>
      <c r="K157" s="145">
        <f>340</f>
        <v>340</v>
      </c>
      <c r="L157" s="14" t="s">
        <v>258</v>
      </c>
      <c r="M157" s="14">
        <v>2012</v>
      </c>
      <c r="N157" s="13">
        <v>6</v>
      </c>
      <c r="O157" s="13"/>
      <c r="P157" s="13"/>
      <c r="Q157" s="13"/>
      <c r="R157" s="85" t="s">
        <v>4</v>
      </c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5"/>
      <c r="AE157" s="5"/>
      <c r="AG157" s="5"/>
      <c r="AH157" s="10"/>
      <c r="AI157" s="5">
        <f t="shared" si="21"/>
        <v>-340</v>
      </c>
    </row>
    <row r="158" spans="1:35" ht="32.25" thickBot="1">
      <c r="A158" s="134">
        <v>127</v>
      </c>
      <c r="B158" s="13" t="s">
        <v>239</v>
      </c>
      <c r="C158" s="106">
        <v>2920000</v>
      </c>
      <c r="D158" s="158" t="s">
        <v>266</v>
      </c>
      <c r="E158" s="13" t="s">
        <v>182</v>
      </c>
      <c r="F158" s="13">
        <v>796</v>
      </c>
      <c r="G158" s="13" t="s">
        <v>257</v>
      </c>
      <c r="H158" s="13">
        <f>3</f>
        <v>3</v>
      </c>
      <c r="I158" s="144" t="s">
        <v>274</v>
      </c>
      <c r="J158" s="150" t="s">
        <v>161</v>
      </c>
      <c r="K158" s="145">
        <f>1374.3</f>
        <v>1374.3</v>
      </c>
      <c r="L158" s="14" t="s">
        <v>258</v>
      </c>
      <c r="M158" s="14">
        <v>2012</v>
      </c>
      <c r="N158" s="13">
        <v>6</v>
      </c>
      <c r="O158" s="13"/>
      <c r="P158" s="13"/>
      <c r="Q158" s="13"/>
      <c r="R158" s="85" t="s">
        <v>4</v>
      </c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5"/>
      <c r="AE158" s="5"/>
      <c r="AG158" s="5"/>
      <c r="AH158" s="10"/>
      <c r="AI158" s="5">
        <f t="shared" si="21"/>
        <v>-1374.3</v>
      </c>
    </row>
    <row r="159" spans="1:35" ht="31.5" hidden="1" outlineLevel="1">
      <c r="A159" s="134">
        <v>128</v>
      </c>
      <c r="B159" s="13" t="s">
        <v>240</v>
      </c>
      <c r="C159" s="106"/>
      <c r="D159" s="158"/>
      <c r="E159" s="13" t="s">
        <v>182</v>
      </c>
      <c r="F159" s="13">
        <v>796</v>
      </c>
      <c r="G159" s="13" t="s">
        <v>257</v>
      </c>
      <c r="H159" s="13"/>
      <c r="I159" s="144" t="s">
        <v>274</v>
      </c>
      <c r="J159" s="150" t="s">
        <v>161</v>
      </c>
      <c r="K159" s="145"/>
      <c r="L159" s="14" t="s">
        <v>258</v>
      </c>
      <c r="M159" s="14">
        <v>2012</v>
      </c>
      <c r="N159" s="13">
        <v>6</v>
      </c>
      <c r="O159" s="13"/>
      <c r="P159" s="13"/>
      <c r="Q159" s="13"/>
      <c r="R159" s="85" t="s">
        <v>4</v>
      </c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5"/>
      <c r="AE159" s="5"/>
      <c r="AG159" s="5"/>
      <c r="AH159" s="10"/>
      <c r="AI159" s="5">
        <f t="shared" si="21"/>
        <v>0</v>
      </c>
    </row>
    <row r="160" spans="1:35" ht="31.5" hidden="1" outlineLevel="1">
      <c r="A160" s="134">
        <v>129</v>
      </c>
      <c r="B160" s="13" t="s">
        <v>241</v>
      </c>
      <c r="C160" s="106"/>
      <c r="D160" s="158"/>
      <c r="E160" s="13" t="s">
        <v>182</v>
      </c>
      <c r="F160" s="13">
        <v>796</v>
      </c>
      <c r="G160" s="13" t="s">
        <v>257</v>
      </c>
      <c r="H160" s="13"/>
      <c r="I160" s="144" t="s">
        <v>274</v>
      </c>
      <c r="J160" s="150" t="s">
        <v>161</v>
      </c>
      <c r="K160" s="145"/>
      <c r="L160" s="14" t="s">
        <v>258</v>
      </c>
      <c r="M160" s="14">
        <v>2012</v>
      </c>
      <c r="N160" s="13">
        <v>6</v>
      </c>
      <c r="O160" s="13"/>
      <c r="P160" s="13"/>
      <c r="Q160" s="13"/>
      <c r="R160" s="85" t="s">
        <v>4</v>
      </c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5"/>
      <c r="AE160" s="5"/>
      <c r="AG160" s="5"/>
      <c r="AH160" s="10"/>
      <c r="AI160" s="5">
        <f t="shared" si="21"/>
        <v>0</v>
      </c>
    </row>
    <row r="161" spans="1:35" ht="31.5" hidden="1" outlineLevel="1">
      <c r="A161" s="134">
        <v>130</v>
      </c>
      <c r="B161" s="13" t="s">
        <v>242</v>
      </c>
      <c r="C161" s="106"/>
      <c r="D161" s="158"/>
      <c r="E161" s="13" t="s">
        <v>182</v>
      </c>
      <c r="F161" s="13">
        <v>796</v>
      </c>
      <c r="G161" s="13" t="s">
        <v>257</v>
      </c>
      <c r="H161" s="13"/>
      <c r="I161" s="144" t="s">
        <v>274</v>
      </c>
      <c r="J161" s="150" t="s">
        <v>161</v>
      </c>
      <c r="K161" s="145"/>
      <c r="L161" s="14" t="s">
        <v>258</v>
      </c>
      <c r="M161" s="14">
        <v>2012</v>
      </c>
      <c r="N161" s="13">
        <v>6</v>
      </c>
      <c r="O161" s="13"/>
      <c r="P161" s="13"/>
      <c r="Q161" s="13"/>
      <c r="R161" s="85" t="s">
        <v>4</v>
      </c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5"/>
      <c r="AE161" s="5"/>
      <c r="AG161" s="5"/>
      <c r="AH161" s="10"/>
      <c r="AI161" s="5">
        <f t="shared" si="21"/>
        <v>0</v>
      </c>
    </row>
    <row r="162" spans="1:35" ht="31.5" hidden="1" outlineLevel="1">
      <c r="A162" s="134">
        <v>131</v>
      </c>
      <c r="B162" s="13" t="s">
        <v>243</v>
      </c>
      <c r="C162" s="106"/>
      <c r="D162" s="158"/>
      <c r="E162" s="13" t="s">
        <v>182</v>
      </c>
      <c r="F162" s="13">
        <v>796</v>
      </c>
      <c r="G162" s="13" t="s">
        <v>257</v>
      </c>
      <c r="H162" s="13"/>
      <c r="I162" s="144" t="s">
        <v>274</v>
      </c>
      <c r="J162" s="150" t="s">
        <v>161</v>
      </c>
      <c r="K162" s="145"/>
      <c r="L162" s="14" t="s">
        <v>258</v>
      </c>
      <c r="M162" s="14">
        <v>2012</v>
      </c>
      <c r="N162" s="13">
        <v>6</v>
      </c>
      <c r="O162" s="13"/>
      <c r="P162" s="13"/>
      <c r="Q162" s="13"/>
      <c r="R162" s="85" t="s">
        <v>4</v>
      </c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5"/>
      <c r="AE162" s="5"/>
      <c r="AG162" s="5"/>
      <c r="AH162" s="10"/>
      <c r="AI162" s="5">
        <f t="shared" si="21"/>
        <v>0</v>
      </c>
    </row>
    <row r="163" spans="1:35" ht="31.5" hidden="1" outlineLevel="1">
      <c r="A163" s="134">
        <v>132</v>
      </c>
      <c r="B163" s="13" t="s">
        <v>244</v>
      </c>
      <c r="C163" s="106"/>
      <c r="D163" s="158"/>
      <c r="E163" s="13" t="s">
        <v>182</v>
      </c>
      <c r="F163" s="13">
        <v>796</v>
      </c>
      <c r="G163" s="13" t="s">
        <v>257</v>
      </c>
      <c r="H163" s="13"/>
      <c r="I163" s="144" t="s">
        <v>274</v>
      </c>
      <c r="J163" s="150" t="s">
        <v>161</v>
      </c>
      <c r="K163" s="145"/>
      <c r="L163" s="14" t="s">
        <v>258</v>
      </c>
      <c r="M163" s="14">
        <v>2012</v>
      </c>
      <c r="N163" s="13">
        <v>6</v>
      </c>
      <c r="O163" s="13"/>
      <c r="P163" s="13"/>
      <c r="Q163" s="13"/>
      <c r="R163" s="85" t="s">
        <v>4</v>
      </c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5"/>
      <c r="AE163" s="5"/>
      <c r="AG163" s="5"/>
      <c r="AH163" s="10"/>
      <c r="AI163" s="5">
        <f t="shared" si="21"/>
        <v>0</v>
      </c>
    </row>
    <row r="164" spans="1:35" ht="31.5" hidden="1" outlineLevel="1">
      <c r="A164" s="134">
        <v>133</v>
      </c>
      <c r="B164" s="13" t="s">
        <v>245</v>
      </c>
      <c r="C164" s="106"/>
      <c r="D164" s="158"/>
      <c r="E164" s="13" t="s">
        <v>182</v>
      </c>
      <c r="F164" s="13">
        <v>796</v>
      </c>
      <c r="G164" s="13" t="s">
        <v>257</v>
      </c>
      <c r="H164" s="13"/>
      <c r="I164" s="144" t="s">
        <v>274</v>
      </c>
      <c r="J164" s="150" t="s">
        <v>161</v>
      </c>
      <c r="K164" s="145"/>
      <c r="L164" s="14" t="s">
        <v>258</v>
      </c>
      <c r="M164" s="14">
        <v>2012</v>
      </c>
      <c r="N164" s="13">
        <v>6</v>
      </c>
      <c r="O164" s="13"/>
      <c r="P164" s="13"/>
      <c r="Q164" s="13"/>
      <c r="R164" s="85" t="s">
        <v>4</v>
      </c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5"/>
      <c r="AE164" s="5"/>
      <c r="AG164" s="5"/>
      <c r="AH164" s="10"/>
      <c r="AI164" s="5">
        <f t="shared" si="21"/>
        <v>0</v>
      </c>
    </row>
    <row r="165" spans="1:35" ht="31.5" hidden="1" outlineLevel="1">
      <c r="A165" s="134">
        <v>134</v>
      </c>
      <c r="B165" s="13" t="s">
        <v>246</v>
      </c>
      <c r="C165" s="106"/>
      <c r="D165" s="158"/>
      <c r="E165" s="13" t="s">
        <v>182</v>
      </c>
      <c r="F165" s="13">
        <v>796</v>
      </c>
      <c r="G165" s="13" t="s">
        <v>257</v>
      </c>
      <c r="H165" s="13"/>
      <c r="I165" s="144" t="s">
        <v>274</v>
      </c>
      <c r="J165" s="150" t="s">
        <v>161</v>
      </c>
      <c r="K165" s="145"/>
      <c r="L165" s="14" t="s">
        <v>258</v>
      </c>
      <c r="M165" s="14">
        <v>2012</v>
      </c>
      <c r="N165" s="13">
        <v>6</v>
      </c>
      <c r="O165" s="13"/>
      <c r="P165" s="13"/>
      <c r="Q165" s="13"/>
      <c r="R165" s="85" t="s">
        <v>4</v>
      </c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5"/>
      <c r="AE165" s="5"/>
      <c r="AG165" s="5"/>
      <c r="AH165" s="10"/>
      <c r="AI165" s="5">
        <f t="shared" si="21"/>
        <v>0</v>
      </c>
    </row>
    <row r="166" spans="1:35" ht="32.25" hidden="1" outlineLevel="1" thickBot="1">
      <c r="A166" s="134">
        <v>135</v>
      </c>
      <c r="B166" s="13" t="s">
        <v>247</v>
      </c>
      <c r="C166" s="106"/>
      <c r="D166" s="158"/>
      <c r="E166" s="13" t="s">
        <v>182</v>
      </c>
      <c r="F166" s="13">
        <v>796</v>
      </c>
      <c r="G166" s="13" t="s">
        <v>257</v>
      </c>
      <c r="H166" s="13"/>
      <c r="I166" s="144" t="s">
        <v>274</v>
      </c>
      <c r="J166" s="150" t="s">
        <v>161</v>
      </c>
      <c r="K166" s="145"/>
      <c r="L166" s="14" t="s">
        <v>258</v>
      </c>
      <c r="M166" s="14">
        <v>2012</v>
      </c>
      <c r="N166" s="13">
        <v>6</v>
      </c>
      <c r="O166" s="13"/>
      <c r="P166" s="13"/>
      <c r="Q166" s="13"/>
      <c r="R166" s="85" t="s">
        <v>4</v>
      </c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5"/>
      <c r="AE166" s="5"/>
      <c r="AG166" s="5"/>
      <c r="AH166" s="10"/>
      <c r="AI166" s="5">
        <f t="shared" si="21"/>
        <v>0</v>
      </c>
    </row>
    <row r="167" spans="1:35" ht="16.5" collapsed="1" thickBot="1">
      <c r="A167" s="189" t="s">
        <v>69</v>
      </c>
      <c r="B167" s="190"/>
      <c r="C167" s="190"/>
      <c r="D167" s="93"/>
      <c r="E167" s="94"/>
      <c r="F167" s="110"/>
      <c r="G167" s="94"/>
      <c r="H167" s="94"/>
      <c r="I167" s="118"/>
      <c r="J167" s="94"/>
      <c r="K167" s="95">
        <f>SUM(K144:K166)</f>
        <v>190785.59999999998</v>
      </c>
      <c r="L167" s="96"/>
      <c r="M167" s="97"/>
      <c r="N167" s="98"/>
      <c r="O167" s="98"/>
      <c r="P167" s="98"/>
      <c r="Q167" s="98"/>
      <c r="R167" s="97"/>
      <c r="S167" s="87">
        <f t="shared" ref="S167:AB167" si="22">S46+S47+S48+S49+S50+S51+S54+S55+S56++S59+S60+S61+S62+S63+S64+S65+S66+S67+S68+S69+S70+S71+S72+S73+S74+S75+S76+S77+S78+S79+S80+S81+S82+S83+S84+S85+S87+S88+S89+S90+S99+S100+S101++S102+S103+S104+S107+S108+S109+S110+S111+S112+S113+S114+S115+S116+S117+S120+S121+S122+S123+S124+S125+S126+S165+S166+S52+S53+S57++S58+S86+S105+S106+S127+S128+S129+S130+S131+S132+S133+S134+S135+S136+S137+S138+S139+S140+S141+S142+S143+S144+S145+S146+S147+S148+S149+S150+S151+S152+S118+S119+S153+S154+S156+S157+S158+S159+S160+S161+S162+S163+S164</f>
        <v>59913.067980000007</v>
      </c>
      <c r="T167" s="49">
        <f t="shared" si="22"/>
        <v>49695.1443</v>
      </c>
      <c r="U167" s="49">
        <f t="shared" si="22"/>
        <v>48468.430780000002</v>
      </c>
      <c r="V167" s="49">
        <f t="shared" si="22"/>
        <v>1226.71352</v>
      </c>
      <c r="W167" s="49">
        <f t="shared" si="22"/>
        <v>80198.704620000004</v>
      </c>
      <c r="X167" s="49">
        <f t="shared" si="22"/>
        <v>77970.895219999991</v>
      </c>
      <c r="Y167" s="49">
        <f t="shared" si="22"/>
        <v>2227.8094000000001</v>
      </c>
      <c r="Z167" s="52">
        <f t="shared" si="22"/>
        <v>30503.560319999997</v>
      </c>
      <c r="AA167" s="47">
        <f t="shared" si="22"/>
        <v>29502.464440000003</v>
      </c>
      <c r="AB167" s="25">
        <f t="shared" si="22"/>
        <v>1001.0958800000001</v>
      </c>
      <c r="AC167" s="5">
        <f>K167-X167</f>
        <v>112814.70477999999</v>
      </c>
      <c r="AE167" s="5"/>
      <c r="AG167" s="5">
        <f>U167-X167</f>
        <v>-29502.464439999989</v>
      </c>
      <c r="AH167" s="95">
        <f>SUM(AH144:AH166)</f>
        <v>0</v>
      </c>
      <c r="AI167" s="5">
        <f t="shared" si="21"/>
        <v>-190785.59999999998</v>
      </c>
    </row>
    <row r="168" spans="1:35" ht="16.5" thickBot="1">
      <c r="A168" s="187" t="s">
        <v>261</v>
      </c>
      <c r="B168" s="188"/>
      <c r="C168" s="188"/>
      <c r="D168" s="48"/>
      <c r="E168" s="72"/>
      <c r="F168" s="108"/>
      <c r="G168" s="72"/>
      <c r="H168" s="72"/>
      <c r="I168" s="119"/>
      <c r="J168" s="72"/>
      <c r="K168" s="49">
        <f>K167+K143</f>
        <v>981903.36292999994</v>
      </c>
      <c r="L168" s="50"/>
      <c r="M168" s="51"/>
      <c r="N168" s="63"/>
      <c r="O168" s="63"/>
      <c r="P168" s="63"/>
      <c r="Q168" s="63"/>
      <c r="R168" s="51"/>
      <c r="S168" s="87">
        <f t="shared" ref="S168:AB168" si="23">S47+S48+S49+S50+S51+S52+S55+S56+S57++S60+S61+S62+S63+S64+S65+S66+S67+S68+S69+S70+S71+S72+S73+S74+S75+S76+S77+S78+S79+S80+S81+S82+S83+S84+S85+S86+S88+S89+S90+S91+S100+S101+S102++S103+S104+S105+S108+S109+S110+S111+S112+S113+S114+S115+S116+S117+S118+S121+S122+S123+S124+S125+S126+S127+S166+S167+S53+S54+S58++S59+S87+S106+S107+S128+S129+S130+S131+S132+S133+S134+S135+S136+S137+S138+S139+S140+S141+S142+S143+S144+S145+S146+S147+S148+S149+S150+S151+S152+S153+S119+S120+S154+S156+S157+S158+S159+S160+S161+S162+S163+S164+S165</f>
        <v>119672.1811</v>
      </c>
      <c r="T168" s="49">
        <f t="shared" si="23"/>
        <v>99260.102389999985</v>
      </c>
      <c r="U168" s="49">
        <f t="shared" si="23"/>
        <v>96806.675350000005</v>
      </c>
      <c r="V168" s="49">
        <f t="shared" si="23"/>
        <v>2453.4270399999996</v>
      </c>
      <c r="W168" s="49">
        <f t="shared" si="23"/>
        <v>159958.77999999997</v>
      </c>
      <c r="X168" s="49">
        <f t="shared" si="23"/>
        <v>155503.16119999997</v>
      </c>
      <c r="Y168" s="49">
        <f t="shared" si="23"/>
        <v>4455.6188000000002</v>
      </c>
      <c r="Z168" s="52">
        <f t="shared" si="23"/>
        <v>60698.677609999992</v>
      </c>
      <c r="AA168" s="47">
        <f t="shared" si="23"/>
        <v>58696.485849999997</v>
      </c>
      <c r="AB168" s="25">
        <f t="shared" si="23"/>
        <v>2002.1917600000002</v>
      </c>
      <c r="AC168" s="5">
        <f>K168-X168</f>
        <v>826400.20172999997</v>
      </c>
      <c r="AE168" s="5"/>
      <c r="AG168" s="5">
        <f>U168-X168</f>
        <v>-58696.485849999968</v>
      </c>
      <c r="AH168" s="49">
        <f>AH167+AH143</f>
        <v>557808.07000000018</v>
      </c>
      <c r="AI168" s="5">
        <f t="shared" si="21"/>
        <v>-424095.29292999976</v>
      </c>
    </row>
    <row r="169" spans="1:35" ht="15.75">
      <c r="A169" s="88"/>
      <c r="B169" s="88"/>
      <c r="C169" s="88"/>
      <c r="D169" s="89"/>
      <c r="E169" s="90"/>
      <c r="F169" s="90"/>
      <c r="G169" s="90"/>
      <c r="H169" s="90"/>
      <c r="I169" s="120"/>
      <c r="J169" s="90"/>
      <c r="K169" s="91"/>
      <c r="L169" s="92"/>
      <c r="M169" s="92"/>
      <c r="N169" s="92"/>
      <c r="O169" s="92"/>
      <c r="P169" s="92"/>
      <c r="Q169" s="92"/>
      <c r="R169" s="92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5"/>
      <c r="AE169" s="5"/>
      <c r="AG169" s="5"/>
    </row>
    <row r="170" spans="1:35" ht="20.25" customHeight="1">
      <c r="A170" s="184" t="s">
        <v>284</v>
      </c>
      <c r="B170" s="184"/>
      <c r="C170" s="184"/>
      <c r="D170" s="184"/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26"/>
      <c r="Q170" s="126"/>
    </row>
    <row r="171" spans="1:35" ht="20.25" customHeight="1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6"/>
      <c r="Q171" s="126"/>
    </row>
    <row r="172" spans="1:35" ht="50.25" customHeight="1" thickBot="1">
      <c r="A172" s="185" t="s">
        <v>286</v>
      </c>
      <c r="B172" s="185"/>
      <c r="C172" s="185"/>
      <c r="D172" s="185"/>
      <c r="E172" s="127"/>
      <c r="F172" s="185"/>
      <c r="G172" s="185"/>
      <c r="H172" s="127"/>
      <c r="I172" s="185" t="s">
        <v>289</v>
      </c>
      <c r="J172" s="185"/>
      <c r="K172" s="185"/>
      <c r="L172" s="185"/>
      <c r="M172" s="185"/>
      <c r="N172" s="127"/>
      <c r="O172" s="127"/>
      <c r="P172" s="126"/>
      <c r="Q172" s="126"/>
    </row>
    <row r="173" spans="1:35" ht="20.25" customHeight="1">
      <c r="A173" s="186" t="s">
        <v>285</v>
      </c>
      <c r="B173" s="186"/>
      <c r="C173" s="186"/>
      <c r="D173" s="186"/>
      <c r="E173" s="127"/>
      <c r="F173" s="186" t="s">
        <v>287</v>
      </c>
      <c r="G173" s="186"/>
      <c r="H173" s="127"/>
      <c r="I173" s="186" t="s">
        <v>288</v>
      </c>
      <c r="J173" s="186"/>
      <c r="K173" s="186"/>
      <c r="L173" s="186"/>
      <c r="M173" s="186"/>
      <c r="N173" s="127"/>
      <c r="O173" s="127"/>
      <c r="P173" s="126"/>
      <c r="Q173" s="126"/>
    </row>
    <row r="174" spans="1:35" ht="52.5" customHeight="1">
      <c r="A174" s="129"/>
      <c r="B174" s="129"/>
      <c r="C174" s="129"/>
      <c r="D174" s="129"/>
      <c r="E174" s="127"/>
      <c r="F174" s="129" t="s">
        <v>290</v>
      </c>
      <c r="G174" s="129"/>
      <c r="H174" s="127"/>
      <c r="I174" s="129"/>
      <c r="J174" s="129"/>
      <c r="K174" s="129"/>
      <c r="L174" s="129"/>
      <c r="M174" s="129"/>
      <c r="N174" s="127"/>
      <c r="O174" s="127"/>
      <c r="P174" s="126"/>
      <c r="Q174" s="126"/>
    </row>
    <row r="175" spans="1:35" ht="42" customHeight="1" thickBot="1">
      <c r="A175" s="126"/>
      <c r="B175" s="126"/>
      <c r="C175" s="126"/>
      <c r="D175" s="126"/>
      <c r="E175" s="128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35" ht="36.75" customHeight="1">
      <c r="A176" s="181" t="s">
        <v>15</v>
      </c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33" ht="36.75" customHeight="1">
      <c r="A177" s="73"/>
      <c r="B177" s="73"/>
      <c r="C177" s="73"/>
      <c r="D177" s="73"/>
      <c r="E177" s="73" t="s">
        <v>262</v>
      </c>
      <c r="F177" s="109"/>
      <c r="G177" s="73">
        <f>176662.1</f>
        <v>176662.1</v>
      </c>
      <c r="H177" s="103">
        <f>G177+G178-K167</f>
        <v>0</v>
      </c>
      <c r="I177" s="121"/>
      <c r="J177" s="73"/>
      <c r="K177" s="73"/>
      <c r="L177" s="73"/>
      <c r="M177" s="73"/>
      <c r="N177" s="73"/>
      <c r="O177" s="73"/>
      <c r="P177" s="73"/>
      <c r="Q177" s="73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33" ht="36.75" customHeight="1">
      <c r="A178" s="73"/>
      <c r="B178" s="73"/>
      <c r="C178" s="73"/>
      <c r="D178" s="73"/>
      <c r="E178" s="73" t="s">
        <v>263</v>
      </c>
      <c r="F178" s="109"/>
      <c r="G178" s="73">
        <v>14123.5</v>
      </c>
      <c r="H178" s="73"/>
      <c r="I178" s="121"/>
      <c r="J178" s="73"/>
      <c r="K178" s="73"/>
      <c r="L178" s="73"/>
      <c r="M178" s="73"/>
      <c r="N178" s="73"/>
      <c r="O178" s="73"/>
      <c r="P178" s="73"/>
      <c r="Q178" s="73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33" ht="36.75" customHeight="1">
      <c r="A179" s="73"/>
      <c r="B179" s="73"/>
      <c r="C179" s="73"/>
      <c r="D179" s="73"/>
      <c r="E179" s="73"/>
      <c r="F179" s="109"/>
      <c r="G179" s="73"/>
      <c r="H179" s="73"/>
      <c r="I179" s="121"/>
      <c r="J179" s="73"/>
      <c r="K179" s="73"/>
      <c r="L179" s="73"/>
      <c r="M179" s="73"/>
      <c r="N179" s="73"/>
      <c r="O179" s="73"/>
      <c r="P179" s="73"/>
      <c r="Q179" s="73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33" ht="36.75" customHeight="1">
      <c r="A180" s="73"/>
      <c r="B180" s="73"/>
      <c r="C180" s="73"/>
      <c r="D180" s="73"/>
      <c r="E180" s="73"/>
      <c r="F180" s="109"/>
      <c r="G180" s="73"/>
      <c r="H180" s="73"/>
      <c r="I180" s="121"/>
      <c r="J180" s="73"/>
      <c r="K180" s="73"/>
      <c r="L180" s="73"/>
      <c r="M180" s="73"/>
      <c r="N180" s="73"/>
      <c r="O180" s="73"/>
      <c r="P180" s="73"/>
      <c r="Q180" s="73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33" ht="31.5">
      <c r="A181" s="58"/>
      <c r="B181" s="58"/>
      <c r="C181" s="70"/>
      <c r="D181" s="58"/>
      <c r="E181" s="58"/>
      <c r="F181" s="109"/>
      <c r="G181" s="58"/>
      <c r="H181" s="58"/>
      <c r="I181" s="121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3" t="s">
        <v>148</v>
      </c>
      <c r="U181" s="53" t="s">
        <v>148</v>
      </c>
      <c r="V181" s="53" t="s">
        <v>148</v>
      </c>
      <c r="W181" s="53" t="s">
        <v>149</v>
      </c>
      <c r="X181" s="56"/>
      <c r="Y181" s="56"/>
      <c r="Z181" s="53" t="s">
        <v>150</v>
      </c>
    </row>
    <row r="182" spans="1:33" ht="36.75" customHeight="1">
      <c r="A182" s="54"/>
      <c r="B182" s="54"/>
      <c r="C182" s="69"/>
      <c r="D182" s="22" t="s">
        <v>134</v>
      </c>
      <c r="E182" s="22"/>
      <c r="F182" s="22"/>
      <c r="G182" s="22"/>
      <c r="H182" s="22"/>
      <c r="I182" s="122"/>
      <c r="J182" s="22"/>
      <c r="K182" s="22"/>
      <c r="L182" s="22"/>
      <c r="M182" s="22"/>
      <c r="N182" s="22"/>
      <c r="O182" s="22"/>
      <c r="P182" s="22"/>
      <c r="Q182" s="22"/>
      <c r="R182" s="22"/>
      <c r="S182" s="23"/>
      <c r="T182" s="26">
        <f>U182+V182</f>
        <v>691</v>
      </c>
      <c r="U182" s="23"/>
      <c r="V182" s="23">
        <v>691</v>
      </c>
      <c r="W182" s="26">
        <f>X182++Y182</f>
        <v>1354</v>
      </c>
      <c r="X182" s="23"/>
      <c r="Y182" s="23">
        <v>1354</v>
      </c>
      <c r="Z182" s="28">
        <f>AA182+AB182</f>
        <v>663</v>
      </c>
      <c r="AA182" s="31">
        <f t="shared" ref="AA182:AB185" si="24">X182-U182</f>
        <v>0</v>
      </c>
      <c r="AB182" s="28">
        <f t="shared" si="24"/>
        <v>663</v>
      </c>
    </row>
    <row r="183" spans="1:33" ht="36.75" customHeight="1">
      <c r="A183" s="54"/>
      <c r="B183" s="54"/>
      <c r="C183" s="69"/>
      <c r="D183" s="22" t="s">
        <v>135</v>
      </c>
      <c r="E183" s="22"/>
      <c r="F183" s="22"/>
      <c r="G183" s="22"/>
      <c r="H183" s="22"/>
      <c r="I183" s="122"/>
      <c r="J183" s="22"/>
      <c r="K183" s="22"/>
      <c r="L183" s="22"/>
      <c r="M183" s="22"/>
      <c r="N183" s="22"/>
      <c r="O183" s="22"/>
      <c r="P183" s="22"/>
      <c r="Q183" s="22"/>
      <c r="R183" s="22"/>
      <c r="S183" s="23"/>
      <c r="T183" s="26">
        <f>U183+V183</f>
        <v>691</v>
      </c>
      <c r="U183" s="23"/>
      <c r="V183" s="23">
        <v>691</v>
      </c>
      <c r="W183" s="26">
        <f>X183++Y183</f>
        <v>1354</v>
      </c>
      <c r="X183" s="23"/>
      <c r="Y183" s="23">
        <f>Y182</f>
        <v>1354</v>
      </c>
      <c r="Z183" s="28">
        <f>AA183+AB183</f>
        <v>663</v>
      </c>
      <c r="AA183" s="31">
        <f t="shared" si="24"/>
        <v>0</v>
      </c>
      <c r="AB183" s="28">
        <f t="shared" si="24"/>
        <v>663</v>
      </c>
    </row>
    <row r="184" spans="1:33" ht="36.75" customHeight="1">
      <c r="A184" s="54"/>
      <c r="B184" s="54"/>
      <c r="C184" s="69"/>
      <c r="D184" s="22" t="s">
        <v>147</v>
      </c>
      <c r="E184" s="22"/>
      <c r="F184" s="22"/>
      <c r="G184" s="22"/>
      <c r="H184" s="22"/>
      <c r="I184" s="1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26">
        <f>U184+V184</f>
        <v>31826.216679999994</v>
      </c>
      <c r="U184" s="23">
        <f>U143</f>
        <v>31209.126919999995</v>
      </c>
      <c r="V184" s="23">
        <f>V143</f>
        <v>617.08976000000007</v>
      </c>
      <c r="W184" s="26">
        <f>X184++Y184</f>
        <v>48939.761679999996</v>
      </c>
      <c r="X184" s="23">
        <f>X143</f>
        <v>47803.247979999993</v>
      </c>
      <c r="Y184" s="23">
        <f>Y143</f>
        <v>1136.5137</v>
      </c>
      <c r="Z184" s="28">
        <f>AA184+AB184</f>
        <v>17113.544999999998</v>
      </c>
      <c r="AA184" s="31">
        <f t="shared" si="24"/>
        <v>16594.121059999998</v>
      </c>
      <c r="AB184" s="28">
        <f t="shared" si="24"/>
        <v>519.4239399999999</v>
      </c>
    </row>
    <row r="185" spans="1:33" ht="36.75" customHeight="1">
      <c r="A185" s="54"/>
      <c r="B185" s="54"/>
      <c r="C185" s="69"/>
      <c r="D185" s="22" t="s">
        <v>146</v>
      </c>
      <c r="E185" s="22"/>
      <c r="F185" s="22"/>
      <c r="G185" s="22"/>
      <c r="H185" s="22"/>
      <c r="I185" s="122"/>
      <c r="J185" s="22"/>
      <c r="K185" s="22"/>
      <c r="L185" s="22"/>
      <c r="M185" s="22"/>
      <c r="N185" s="22"/>
      <c r="O185" s="22"/>
      <c r="P185" s="22"/>
      <c r="Q185" s="22"/>
      <c r="R185" s="22"/>
      <c r="S185" s="23"/>
      <c r="T185" s="26">
        <f>U185+V185</f>
        <v>617.08976000000007</v>
      </c>
      <c r="U185" s="23"/>
      <c r="V185" s="23">
        <f>V143</f>
        <v>617.08976000000007</v>
      </c>
      <c r="W185" s="26">
        <f>X185++Y185</f>
        <v>1136.5137</v>
      </c>
      <c r="X185" s="23"/>
      <c r="Y185" s="23">
        <f>Y143</f>
        <v>1136.5137</v>
      </c>
      <c r="Z185" s="28">
        <f>AA185+AB185</f>
        <v>519.4239399999999</v>
      </c>
      <c r="AA185" s="31">
        <f t="shared" si="24"/>
        <v>0</v>
      </c>
      <c r="AB185" s="28">
        <f t="shared" si="24"/>
        <v>519.4239399999999</v>
      </c>
    </row>
    <row r="186" spans="1:33" ht="36.75" customHeight="1">
      <c r="A186" s="54"/>
      <c r="B186" s="54"/>
      <c r="C186" s="69"/>
      <c r="D186" s="54"/>
      <c r="E186" s="54"/>
      <c r="F186" s="107"/>
      <c r="G186" s="54"/>
      <c r="H186" s="54"/>
      <c r="I186" s="123"/>
      <c r="J186" s="54"/>
      <c r="K186" s="54"/>
      <c r="L186" s="54"/>
      <c r="M186" s="54"/>
      <c r="N186" s="54"/>
      <c r="O186" s="54"/>
      <c r="P186" s="54"/>
      <c r="Q186" s="54"/>
      <c r="R186" s="54"/>
    </row>
    <row r="188" spans="1:33">
      <c r="K188" s="5">
        <f>SUM(K23:K142)-K67</f>
        <v>791117.76292999985</v>
      </c>
    </row>
    <row r="189" spans="1:33">
      <c r="K189" s="5">
        <f>K188-K143</f>
        <v>0</v>
      </c>
    </row>
    <row r="192" spans="1:33" ht="15.75">
      <c r="A192" s="17">
        <v>74</v>
      </c>
      <c r="B192" s="59"/>
      <c r="C192" s="59"/>
      <c r="D192" s="15" t="s">
        <v>95</v>
      </c>
      <c r="E192" s="18"/>
      <c r="F192" s="18"/>
      <c r="G192" s="18"/>
      <c r="H192" s="18"/>
      <c r="I192" s="124"/>
      <c r="J192" s="18"/>
      <c r="K192" s="16">
        <f>180</f>
        <v>180</v>
      </c>
      <c r="L192" s="19" t="s">
        <v>258</v>
      </c>
      <c r="M192" s="20">
        <v>2012</v>
      </c>
      <c r="N192" s="64"/>
      <c r="O192" s="64"/>
      <c r="P192" s="64"/>
      <c r="Q192" s="64"/>
      <c r="R192" s="64"/>
      <c r="S192" s="21">
        <v>105.61324</v>
      </c>
      <c r="T192" s="21"/>
      <c r="U192" s="21">
        <v>29.968979999999998</v>
      </c>
      <c r="V192" s="21"/>
      <c r="W192" s="21"/>
      <c r="X192" s="21">
        <v>142.68914000000001</v>
      </c>
      <c r="Y192" s="21"/>
      <c r="Z192" s="21"/>
      <c r="AA192" s="21">
        <f>X192-U192</f>
        <v>112.72016000000001</v>
      </c>
      <c r="AB192" s="24"/>
      <c r="AC192" s="5">
        <f>K192-X192</f>
        <v>37.310859999999991</v>
      </c>
      <c r="AG192" s="5">
        <f>U192-X192</f>
        <v>-112.72016000000001</v>
      </c>
    </row>
  </sheetData>
  <autoFilter ref="A22:AK168">
    <filterColumn colId="1"/>
    <filterColumn colId="2"/>
    <filterColumn colId="4"/>
    <filterColumn colId="5"/>
    <filterColumn colId="6"/>
    <filterColumn colId="7"/>
    <filterColumn colId="8"/>
    <filterColumn colId="9"/>
    <filterColumn colId="13"/>
    <filterColumn colId="14"/>
    <filterColumn colId="15"/>
    <filterColumn colId="16"/>
    <filterColumn colId="17"/>
    <filterColumn colId="19"/>
    <filterColumn colId="21"/>
    <filterColumn colId="22"/>
    <filterColumn colId="24"/>
    <filterColumn colId="25"/>
    <filterColumn colId="27"/>
  </autoFilter>
  <mergeCells count="51">
    <mergeCell ref="A16:D16"/>
    <mergeCell ref="E16:G16"/>
    <mergeCell ref="A17:D17"/>
    <mergeCell ref="E17:H17"/>
    <mergeCell ref="A13:D13"/>
    <mergeCell ref="L13:O15"/>
    <mergeCell ref="A14:D14"/>
    <mergeCell ref="E14:G14"/>
    <mergeCell ref="A15:D15"/>
    <mergeCell ref="E15:G15"/>
    <mergeCell ref="A9:E9"/>
    <mergeCell ref="L9:O12"/>
    <mergeCell ref="A10:D10"/>
    <mergeCell ref="E10:F10"/>
    <mergeCell ref="A11:D11"/>
    <mergeCell ref="E11:G11"/>
    <mergeCell ref="A12:D12"/>
    <mergeCell ref="I173:M173"/>
    <mergeCell ref="A1:M1"/>
    <mergeCell ref="A2:M2"/>
    <mergeCell ref="A3:M3"/>
    <mergeCell ref="A4:M4"/>
    <mergeCell ref="A8:Q8"/>
    <mergeCell ref="AD87:AD90"/>
    <mergeCell ref="A143:C143"/>
    <mergeCell ref="A19:A21"/>
    <mergeCell ref="B19:B21"/>
    <mergeCell ref="C19:C21"/>
    <mergeCell ref="E20:E21"/>
    <mergeCell ref="AD79:AD84"/>
    <mergeCell ref="Q19:Q21"/>
    <mergeCell ref="A67:A75"/>
    <mergeCell ref="R67:R75"/>
    <mergeCell ref="N67:N75"/>
    <mergeCell ref="D19:O19"/>
    <mergeCell ref="A176:Q176"/>
    <mergeCell ref="N20:N21"/>
    <mergeCell ref="D20:D21"/>
    <mergeCell ref="H20:H21"/>
    <mergeCell ref="L20:M20"/>
    <mergeCell ref="K20:K21"/>
    <mergeCell ref="A170:O170"/>
    <mergeCell ref="A172:D172"/>
    <mergeCell ref="A173:D173"/>
    <mergeCell ref="F172:G172"/>
    <mergeCell ref="F173:G173"/>
    <mergeCell ref="I172:M172"/>
    <mergeCell ref="A168:C168"/>
    <mergeCell ref="F20:G20"/>
    <mergeCell ref="I20:J20"/>
    <mergeCell ref="A167:C167"/>
  </mergeCells>
  <hyperlinks>
    <hyperlink ref="E13" r:id="rId1"/>
  </hyperlinks>
  <pageMargins left="0.19685039370078741" right="0.23622047244094491" top="0.27559055118110237" bottom="0.23622047244094491" header="0.15748031496062992" footer="0.15748031496062992"/>
  <pageSetup paperSize="9" scale="35" fitToHeight="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92"/>
  <sheetViews>
    <sheetView view="pageBreakPreview" topLeftCell="A8" zoomScale="70" zoomScaleNormal="90" zoomScaleSheetLayoutView="70" workbookViewId="0">
      <pane xSplit="4" ySplit="15" topLeftCell="H23" activePane="bottomRight" state="frozen"/>
      <selection activeCell="A8" sqref="A8"/>
      <selection pane="topRight" activeCell="G8" sqref="G8"/>
      <selection pane="bottomLeft" activeCell="A20" sqref="A20"/>
      <selection pane="bottomRight" activeCell="A9" sqref="A9:O17"/>
    </sheetView>
  </sheetViews>
  <sheetFormatPr defaultRowHeight="15" outlineLevelRow="2" outlineLevelCol="2"/>
  <cols>
    <col min="1" max="1" width="6.42578125" customWidth="1"/>
    <col min="2" max="2" width="15.28515625" customWidth="1"/>
    <col min="3" max="3" width="14.42578125" style="78" customWidth="1"/>
    <col min="4" max="4" width="102.7109375" bestFit="1" customWidth="1"/>
    <col min="5" max="5" width="74.7109375" bestFit="1" customWidth="1"/>
    <col min="6" max="6" width="20.7109375" customWidth="1"/>
    <col min="7" max="7" width="23.7109375" customWidth="1"/>
    <col min="8" max="8" width="16.7109375" customWidth="1"/>
    <col min="9" max="9" width="16.7109375" style="116" customWidth="1"/>
    <col min="10" max="10" width="21.140625" customWidth="1"/>
    <col min="11" max="11" width="22.7109375" customWidth="1"/>
    <col min="12" max="18" width="18.7109375" customWidth="1"/>
    <col min="19" max="19" width="26" style="5" hidden="1" customWidth="1" outlineLevel="1"/>
    <col min="20" max="20" width="20.28515625" style="5" hidden="1" customWidth="1" outlineLevel="1" collapsed="1"/>
    <col min="21" max="22" width="18.28515625" style="5" hidden="1" customWidth="1" outlineLevel="2"/>
    <col min="23" max="23" width="21.7109375" style="5" hidden="1" customWidth="1" outlineLevel="1" collapsed="1"/>
    <col min="24" max="25" width="14.7109375" style="5" hidden="1" customWidth="1" outlineLevel="2"/>
    <col min="26" max="26" width="18.7109375" style="5" hidden="1" customWidth="1" outlineLevel="1" collapsed="1"/>
    <col min="27" max="28" width="16.140625" style="5" hidden="1" customWidth="1" outlineLevel="2"/>
    <col min="29" max="29" width="16" hidden="1" customWidth="1" outlineLevel="2"/>
    <col min="30" max="30" width="9.140625" style="5" hidden="1" customWidth="1" outlineLevel="1" collapsed="1"/>
    <col min="31" max="32" width="9.140625" hidden="1" customWidth="1" outlineLevel="1"/>
    <col min="33" max="33" width="12.42578125" hidden="1" customWidth="1" outlineLevel="1"/>
    <col min="34" max="34" width="14.7109375" customWidth="1" collapsed="1"/>
    <col min="35" max="35" width="15.28515625" customWidth="1"/>
  </cols>
  <sheetData>
    <row r="1" spans="1:30" ht="16.5" hidden="1" outlineLevel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164"/>
      <c r="O1" s="164"/>
      <c r="P1" s="164"/>
      <c r="Q1" s="164"/>
      <c r="R1" s="164"/>
    </row>
    <row r="2" spans="1:30" ht="16.5" hidden="1" outlineLevel="1">
      <c r="A2" s="205" t="s">
        <v>92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164"/>
      <c r="O2" s="164"/>
      <c r="P2" s="164"/>
      <c r="Q2" s="164"/>
      <c r="R2" s="164"/>
    </row>
    <row r="3" spans="1:30" ht="16.5" hidden="1" outlineLevel="1">
      <c r="A3" s="205" t="s">
        <v>93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164"/>
      <c r="O3" s="164"/>
      <c r="P3" s="164"/>
      <c r="Q3" s="164"/>
      <c r="R3" s="164"/>
    </row>
    <row r="4" spans="1:30" ht="38.25" hidden="1" customHeight="1" outlineLevel="1">
      <c r="A4" s="205" t="s">
        <v>18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164"/>
      <c r="O4" s="164"/>
      <c r="P4" s="164"/>
      <c r="Q4" s="164"/>
      <c r="R4" s="164"/>
    </row>
    <row r="5" spans="1:30" ht="16.5" collapsed="1">
      <c r="A5" s="1" t="s">
        <v>19</v>
      </c>
      <c r="B5" s="1"/>
      <c r="C5" s="74"/>
    </row>
    <row r="6" spans="1:30" ht="25.5" customHeight="1">
      <c r="A6" s="163"/>
      <c r="B6" s="163"/>
      <c r="C6" s="75"/>
    </row>
    <row r="7" spans="1:30" ht="9.75" customHeight="1">
      <c r="A7" s="2"/>
      <c r="B7" s="2"/>
      <c r="C7" s="76"/>
    </row>
    <row r="8" spans="1:30" ht="16.5">
      <c r="A8" s="206" t="s">
        <v>296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68"/>
      <c r="S8" s="68"/>
      <c r="T8" s="68"/>
      <c r="U8" s="68"/>
      <c r="V8" s="68"/>
      <c r="W8" s="68"/>
      <c r="X8" s="68"/>
      <c r="Y8" s="68"/>
      <c r="Z8" s="68"/>
    </row>
    <row r="9" spans="1:30" ht="16.5" customHeight="1">
      <c r="A9" s="207" t="s">
        <v>297</v>
      </c>
      <c r="B9" s="207"/>
      <c r="C9" s="207"/>
      <c r="D9" s="207"/>
      <c r="E9" s="207"/>
      <c r="F9" s="68"/>
      <c r="G9" s="68"/>
      <c r="H9" s="68"/>
      <c r="I9" s="68"/>
      <c r="J9" s="68"/>
      <c r="K9" s="68"/>
      <c r="L9" s="210" t="s">
        <v>298</v>
      </c>
      <c r="M9" s="210"/>
      <c r="N9" s="210"/>
      <c r="O9" s="210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30" ht="20.25" customHeight="1">
      <c r="A10" s="207" t="s">
        <v>175</v>
      </c>
      <c r="B10" s="207"/>
      <c r="C10" s="207"/>
      <c r="D10" s="207"/>
      <c r="E10" s="207" t="s">
        <v>178</v>
      </c>
      <c r="F10" s="207"/>
      <c r="G10" s="178"/>
      <c r="H10" s="178"/>
      <c r="I10" s="68"/>
      <c r="J10" s="68"/>
      <c r="K10" s="68"/>
      <c r="L10" s="210"/>
      <c r="M10" s="210"/>
      <c r="N10" s="210"/>
      <c r="O10" s="210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D10" s="5" t="s">
        <v>94</v>
      </c>
    </row>
    <row r="11" spans="1:30" ht="16.5">
      <c r="A11" s="207" t="s">
        <v>279</v>
      </c>
      <c r="B11" s="207"/>
      <c r="C11" s="207"/>
      <c r="D11" s="207"/>
      <c r="E11" s="207" t="s">
        <v>282</v>
      </c>
      <c r="F11" s="207"/>
      <c r="G11" s="207"/>
      <c r="H11" s="178"/>
      <c r="I11" s="68"/>
      <c r="J11" s="68"/>
      <c r="K11" s="68"/>
      <c r="L11" s="210"/>
      <c r="M11" s="210"/>
      <c r="N11" s="210"/>
      <c r="O11" s="21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30" ht="16.5">
      <c r="A12" s="207" t="s">
        <v>275</v>
      </c>
      <c r="B12" s="207"/>
      <c r="C12" s="207"/>
      <c r="D12" s="207"/>
      <c r="E12" s="178" t="s">
        <v>280</v>
      </c>
      <c r="F12" s="178"/>
      <c r="G12" s="178"/>
      <c r="H12" s="178"/>
      <c r="I12" s="169"/>
      <c r="J12" s="169"/>
      <c r="K12" s="169"/>
      <c r="L12" s="210"/>
      <c r="M12" s="210"/>
      <c r="N12" s="210"/>
      <c r="O12" s="210"/>
      <c r="P12" s="169"/>
      <c r="Q12" s="169"/>
      <c r="R12" s="68"/>
      <c r="S12" s="68"/>
      <c r="T12" s="68"/>
      <c r="U12" s="68"/>
      <c r="V12" s="68"/>
      <c r="W12" s="68"/>
      <c r="X12" s="68"/>
      <c r="Y12" s="68"/>
      <c r="Z12" s="68"/>
    </row>
    <row r="13" spans="1:30" ht="17.25" customHeight="1">
      <c r="A13" s="207" t="s">
        <v>278</v>
      </c>
      <c r="B13" s="207"/>
      <c r="C13" s="207"/>
      <c r="D13" s="207"/>
      <c r="E13" s="125" t="s">
        <v>281</v>
      </c>
      <c r="F13" s="125"/>
      <c r="G13" s="125"/>
      <c r="H13" s="178"/>
      <c r="I13" s="169"/>
      <c r="J13" s="169"/>
      <c r="K13" s="169"/>
      <c r="L13" s="210" t="s">
        <v>299</v>
      </c>
      <c r="M13" s="210"/>
      <c r="N13" s="210"/>
      <c r="O13" s="210"/>
      <c r="P13" s="169"/>
      <c r="Q13" s="169"/>
      <c r="R13" s="68"/>
      <c r="S13" s="68"/>
      <c r="T13" s="68"/>
      <c r="U13" s="68"/>
      <c r="V13" s="68"/>
      <c r="W13" s="68"/>
      <c r="X13" s="68"/>
      <c r="Y13" s="68"/>
      <c r="Z13" s="68"/>
    </row>
    <row r="14" spans="1:30" ht="16.5" customHeight="1">
      <c r="A14" s="207" t="s">
        <v>276</v>
      </c>
      <c r="B14" s="207"/>
      <c r="C14" s="207"/>
      <c r="D14" s="207"/>
      <c r="E14" s="207">
        <v>2463235719</v>
      </c>
      <c r="F14" s="207"/>
      <c r="G14" s="207"/>
      <c r="H14" s="178"/>
      <c r="I14" s="68"/>
      <c r="J14" s="68"/>
      <c r="K14" s="68"/>
      <c r="L14" s="210"/>
      <c r="M14" s="210"/>
      <c r="N14" s="210"/>
      <c r="O14" s="210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30" ht="16.5">
      <c r="A15" s="207" t="s">
        <v>277</v>
      </c>
      <c r="B15" s="207"/>
      <c r="C15" s="207"/>
      <c r="D15" s="207"/>
      <c r="E15" s="207">
        <v>246301001</v>
      </c>
      <c r="F15" s="207"/>
      <c r="G15" s="207"/>
      <c r="H15" s="178"/>
      <c r="I15" s="169"/>
      <c r="J15" s="169"/>
      <c r="K15" s="169"/>
      <c r="L15" s="210"/>
      <c r="M15" s="210"/>
      <c r="N15" s="210"/>
      <c r="O15" s="210"/>
      <c r="P15" s="169"/>
      <c r="Q15" s="169"/>
      <c r="R15" s="68"/>
      <c r="S15" s="68"/>
      <c r="T15" s="68"/>
      <c r="U15" s="68"/>
      <c r="V15" s="68"/>
      <c r="W15" s="68"/>
      <c r="X15" s="68"/>
      <c r="Y15" s="68"/>
      <c r="Z15" s="68"/>
    </row>
    <row r="16" spans="1:30" ht="16.5">
      <c r="A16" s="207" t="s">
        <v>227</v>
      </c>
      <c r="B16" s="207"/>
      <c r="C16" s="207"/>
      <c r="D16" s="207"/>
      <c r="E16" s="208" t="s">
        <v>228</v>
      </c>
      <c r="F16" s="208"/>
      <c r="G16" s="208"/>
      <c r="H16" s="179"/>
      <c r="I16" s="209"/>
      <c r="J16" s="209"/>
      <c r="K16" s="209"/>
      <c r="L16" s="209"/>
      <c r="M16" s="209"/>
      <c r="N16" s="209"/>
      <c r="O16" s="209"/>
      <c r="P16" s="209"/>
      <c r="Q16" s="209"/>
      <c r="R16" s="68"/>
      <c r="S16" s="68"/>
      <c r="T16" s="68"/>
      <c r="U16" s="68"/>
      <c r="V16" s="68"/>
      <c r="W16" s="68"/>
      <c r="X16" s="68"/>
      <c r="Y16" s="68"/>
      <c r="Z16" s="68"/>
    </row>
    <row r="17" spans="1:35" ht="16.5">
      <c r="A17" s="207" t="s">
        <v>176</v>
      </c>
      <c r="B17" s="207"/>
      <c r="C17" s="207"/>
      <c r="D17" s="207"/>
      <c r="E17" s="207" t="s">
        <v>178</v>
      </c>
      <c r="F17" s="207"/>
      <c r="G17" s="207"/>
      <c r="H17" s="207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35" ht="15.75" thickBot="1">
      <c r="A18" s="3"/>
      <c r="B18" s="3"/>
      <c r="C18" s="77"/>
    </row>
    <row r="19" spans="1:35" ht="39" thickBot="1">
      <c r="A19" s="194" t="s">
        <v>1</v>
      </c>
      <c r="B19" s="197" t="s">
        <v>269</v>
      </c>
      <c r="C19" s="197" t="s">
        <v>293</v>
      </c>
      <c r="D19" s="197" t="s">
        <v>155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204"/>
      <c r="P19" s="112"/>
      <c r="Q19" s="198" t="s">
        <v>160</v>
      </c>
      <c r="R19" s="62"/>
      <c r="S19" s="43"/>
      <c r="T19" s="44"/>
      <c r="U19" s="44"/>
      <c r="V19" s="45"/>
      <c r="W19" s="45"/>
      <c r="X19" s="45"/>
      <c r="Y19" s="45"/>
      <c r="Z19" s="46"/>
      <c r="AA19" s="39" t="s">
        <v>139</v>
      </c>
      <c r="AB19" s="27" t="s">
        <v>141</v>
      </c>
    </row>
    <row r="20" spans="1:35" ht="45.75" customHeight="1" thickBot="1">
      <c r="A20" s="195"/>
      <c r="B20" s="182"/>
      <c r="C20" s="182"/>
      <c r="D20" s="182" t="s">
        <v>2</v>
      </c>
      <c r="E20" s="182" t="s">
        <v>151</v>
      </c>
      <c r="F20" s="182" t="s">
        <v>152</v>
      </c>
      <c r="G20" s="182"/>
      <c r="H20" s="182" t="s">
        <v>153</v>
      </c>
      <c r="I20" s="182" t="s">
        <v>154</v>
      </c>
      <c r="J20" s="182"/>
      <c r="K20" s="182" t="s">
        <v>3</v>
      </c>
      <c r="L20" s="182" t="s">
        <v>156</v>
      </c>
      <c r="M20" s="182"/>
      <c r="N20" s="182" t="s">
        <v>283</v>
      </c>
      <c r="O20" s="175" t="s">
        <v>272</v>
      </c>
      <c r="P20" s="111"/>
      <c r="Q20" s="199"/>
      <c r="R20" s="11"/>
      <c r="S20" s="43"/>
      <c r="T20" s="44"/>
      <c r="U20" s="44"/>
      <c r="V20" s="45"/>
      <c r="W20" s="45"/>
      <c r="X20" s="45"/>
      <c r="Y20" s="45"/>
      <c r="Z20" s="46"/>
      <c r="AA20" s="60"/>
      <c r="AB20" s="61"/>
    </row>
    <row r="21" spans="1:35" ht="69" customHeight="1" thickBot="1">
      <c r="A21" s="196"/>
      <c r="B21" s="183"/>
      <c r="C21" s="183"/>
      <c r="D21" s="183"/>
      <c r="E21" s="183"/>
      <c r="F21" s="170" t="s">
        <v>270</v>
      </c>
      <c r="G21" s="176" t="s">
        <v>145</v>
      </c>
      <c r="H21" s="183"/>
      <c r="I21" s="130" t="s">
        <v>271</v>
      </c>
      <c r="J21" s="176" t="s">
        <v>145</v>
      </c>
      <c r="K21" s="183"/>
      <c r="L21" s="170" t="s">
        <v>157</v>
      </c>
      <c r="M21" s="170" t="s">
        <v>158</v>
      </c>
      <c r="N21" s="183"/>
      <c r="O21" s="177" t="s">
        <v>273</v>
      </c>
      <c r="P21" s="66" t="s">
        <v>159</v>
      </c>
      <c r="Q21" s="200"/>
      <c r="R21" s="4" t="s">
        <v>20</v>
      </c>
      <c r="S21" s="43" t="s">
        <v>120</v>
      </c>
      <c r="T21" s="44" t="s">
        <v>142</v>
      </c>
      <c r="U21" s="44" t="s">
        <v>137</v>
      </c>
      <c r="V21" s="45" t="s">
        <v>136</v>
      </c>
      <c r="W21" s="45" t="s">
        <v>143</v>
      </c>
      <c r="X21" s="45" t="s">
        <v>138</v>
      </c>
      <c r="Y21" s="45" t="s">
        <v>140</v>
      </c>
      <c r="Z21" s="46" t="s">
        <v>144</v>
      </c>
      <c r="AA21" s="60"/>
      <c r="AB21" s="61"/>
      <c r="AH21" t="s">
        <v>267</v>
      </c>
    </row>
    <row r="22" spans="1:35" ht="22.5" customHeight="1" thickBot="1">
      <c r="A22" s="113">
        <v>1</v>
      </c>
      <c r="B22" s="114">
        <v>2</v>
      </c>
      <c r="C22" s="114">
        <v>3</v>
      </c>
      <c r="D22" s="114">
        <v>4</v>
      </c>
      <c r="E22" s="114">
        <v>5</v>
      </c>
      <c r="F22" s="114">
        <v>6</v>
      </c>
      <c r="G22" s="114">
        <v>7</v>
      </c>
      <c r="H22" s="114">
        <v>8</v>
      </c>
      <c r="I22" s="117">
        <v>9</v>
      </c>
      <c r="J22" s="114">
        <v>10</v>
      </c>
      <c r="K22" s="114">
        <v>11</v>
      </c>
      <c r="L22" s="114">
        <v>12</v>
      </c>
      <c r="M22" s="114">
        <v>13</v>
      </c>
      <c r="N22" s="114">
        <v>14</v>
      </c>
      <c r="O22" s="115">
        <v>15</v>
      </c>
      <c r="P22" s="65">
        <v>14</v>
      </c>
      <c r="Q22" s="12">
        <v>15</v>
      </c>
      <c r="R22" s="6">
        <v>16</v>
      </c>
      <c r="S22" s="40"/>
      <c r="T22" s="40"/>
      <c r="U22" s="41"/>
      <c r="V22" s="42"/>
      <c r="W22" s="42"/>
      <c r="X22" s="42"/>
      <c r="Y22" s="42"/>
      <c r="Z22" s="42"/>
      <c r="AA22" s="23"/>
      <c r="AB22" s="28"/>
    </row>
    <row r="23" spans="1:35" ht="15.75">
      <c r="A23" s="131">
        <v>1</v>
      </c>
      <c r="B23" s="132" t="s">
        <v>162</v>
      </c>
      <c r="C23" s="133">
        <v>6410000</v>
      </c>
      <c r="D23" s="157" t="s">
        <v>21</v>
      </c>
      <c r="E23" s="101" t="s">
        <v>163</v>
      </c>
      <c r="F23" s="101">
        <v>876</v>
      </c>
      <c r="G23" s="101" t="s">
        <v>294</v>
      </c>
      <c r="H23" s="101">
        <v>1</v>
      </c>
      <c r="I23" s="132" t="s">
        <v>274</v>
      </c>
      <c r="J23" s="101" t="s">
        <v>161</v>
      </c>
      <c r="K23" s="143">
        <f>190*0.4</f>
        <v>76</v>
      </c>
      <c r="L23" s="100" t="s">
        <v>258</v>
      </c>
      <c r="M23" s="100">
        <v>2013</v>
      </c>
      <c r="N23" s="101">
        <v>6</v>
      </c>
      <c r="O23" s="101"/>
      <c r="P23" s="7"/>
      <c r="Q23" s="7"/>
      <c r="R23" s="84" t="s">
        <v>4</v>
      </c>
      <c r="S23" s="79"/>
      <c r="T23" s="34">
        <f>U23+V23</f>
        <v>0</v>
      </c>
      <c r="U23" s="34"/>
      <c r="V23" s="34"/>
      <c r="W23" s="34">
        <f>X23++Y23</f>
        <v>0</v>
      </c>
      <c r="X23" s="34"/>
      <c r="Y23" s="34"/>
      <c r="Z23" s="35">
        <f>AA23+AB23</f>
        <v>0</v>
      </c>
      <c r="AA23" s="31">
        <f t="shared" ref="AA23:AB54" si="0">X23-U23</f>
        <v>0</v>
      </c>
      <c r="AB23" s="28">
        <f t="shared" si="0"/>
        <v>0</v>
      </c>
      <c r="AC23" s="5">
        <f t="shared" ref="AC23:AC86" si="1">K23-X23</f>
        <v>76</v>
      </c>
      <c r="AE23" s="5">
        <f>K23-AC23</f>
        <v>0</v>
      </c>
      <c r="AG23" s="5">
        <f>U23-X23</f>
        <v>0</v>
      </c>
      <c r="AH23" s="33"/>
      <c r="AI23" s="5">
        <f>AH23-K23</f>
        <v>-76</v>
      </c>
    </row>
    <row r="24" spans="1:35" ht="15.75">
      <c r="A24" s="134">
        <v>2</v>
      </c>
      <c r="B24" s="172" t="s">
        <v>162</v>
      </c>
      <c r="C24" s="106">
        <v>6420000</v>
      </c>
      <c r="D24" s="158" t="s">
        <v>5</v>
      </c>
      <c r="E24" s="172" t="s">
        <v>163</v>
      </c>
      <c r="F24" s="172">
        <v>876</v>
      </c>
      <c r="G24" s="172" t="s">
        <v>294</v>
      </c>
      <c r="H24" s="172">
        <v>1</v>
      </c>
      <c r="I24" s="144" t="s">
        <v>274</v>
      </c>
      <c r="J24" s="172" t="s">
        <v>161</v>
      </c>
      <c r="K24" s="145">
        <f>190*0.3</f>
        <v>57</v>
      </c>
      <c r="L24" s="14" t="s">
        <v>258</v>
      </c>
      <c r="M24" s="14">
        <v>2013</v>
      </c>
      <c r="N24" s="172">
        <v>6</v>
      </c>
      <c r="O24" s="172"/>
      <c r="P24" s="166"/>
      <c r="Q24" s="166"/>
      <c r="R24" s="171" t="s">
        <v>4</v>
      </c>
      <c r="S24" s="31">
        <v>40</v>
      </c>
      <c r="T24" s="23">
        <f t="shared" ref="T24:T87" si="2">U24+V24</f>
        <v>0</v>
      </c>
      <c r="U24" s="23"/>
      <c r="V24" s="23"/>
      <c r="W24" s="23">
        <f t="shared" ref="W24:W87" si="3">X24++Y24</f>
        <v>0</v>
      </c>
      <c r="X24" s="23"/>
      <c r="Y24" s="23"/>
      <c r="Z24" s="28">
        <f t="shared" ref="Z24:Z87" si="4">AA24+AB24</f>
        <v>0</v>
      </c>
      <c r="AA24" s="31">
        <f t="shared" si="0"/>
        <v>0</v>
      </c>
      <c r="AB24" s="28">
        <f t="shared" si="0"/>
        <v>0</v>
      </c>
      <c r="AC24" s="5">
        <f t="shared" si="1"/>
        <v>57</v>
      </c>
      <c r="AE24" s="5">
        <f>K24-AC24</f>
        <v>0</v>
      </c>
      <c r="AG24" s="5">
        <f t="shared" ref="AG24:AG87" si="5">U24-X24</f>
        <v>0</v>
      </c>
      <c r="AH24" s="9"/>
      <c r="AI24" s="5">
        <f t="shared" ref="AI24:AI86" si="6">AH24-K24</f>
        <v>-57</v>
      </c>
    </row>
    <row r="25" spans="1:35" ht="15.75">
      <c r="A25" s="134">
        <v>3</v>
      </c>
      <c r="B25" s="172" t="s">
        <v>162</v>
      </c>
      <c r="C25" s="106">
        <v>6410000</v>
      </c>
      <c r="D25" s="158" t="s">
        <v>70</v>
      </c>
      <c r="E25" s="172" t="s">
        <v>163</v>
      </c>
      <c r="F25" s="172">
        <v>876</v>
      </c>
      <c r="G25" s="172" t="s">
        <v>294</v>
      </c>
      <c r="H25" s="172">
        <v>1</v>
      </c>
      <c r="I25" s="144" t="s">
        <v>274</v>
      </c>
      <c r="J25" s="172" t="s">
        <v>161</v>
      </c>
      <c r="K25" s="145">
        <f>190*0.3</f>
        <v>57</v>
      </c>
      <c r="L25" s="14" t="s">
        <v>258</v>
      </c>
      <c r="M25" s="14">
        <v>2013</v>
      </c>
      <c r="N25" s="172">
        <v>6</v>
      </c>
      <c r="O25" s="172"/>
      <c r="P25" s="166"/>
      <c r="Q25" s="166"/>
      <c r="R25" s="171" t="s">
        <v>4</v>
      </c>
      <c r="S25" s="31"/>
      <c r="T25" s="23">
        <f t="shared" si="2"/>
        <v>0</v>
      </c>
      <c r="U25" s="23"/>
      <c r="V25" s="23"/>
      <c r="W25" s="23">
        <f t="shared" si="3"/>
        <v>0</v>
      </c>
      <c r="X25" s="23"/>
      <c r="Y25" s="23"/>
      <c r="Z25" s="28">
        <f t="shared" si="4"/>
        <v>0</v>
      </c>
      <c r="AA25" s="31">
        <f t="shared" si="0"/>
        <v>0</v>
      </c>
      <c r="AB25" s="28">
        <f>Y25-V25</f>
        <v>0</v>
      </c>
      <c r="AC25" s="5">
        <f t="shared" si="1"/>
        <v>57</v>
      </c>
      <c r="AE25" s="5">
        <f>K25-AC25</f>
        <v>0</v>
      </c>
      <c r="AG25" s="5">
        <f t="shared" si="5"/>
        <v>0</v>
      </c>
      <c r="AH25" s="9"/>
      <c r="AI25" s="5">
        <f t="shared" si="6"/>
        <v>-57</v>
      </c>
    </row>
    <row r="26" spans="1:35" ht="15.75">
      <c r="A26" s="134">
        <v>4</v>
      </c>
      <c r="B26" s="172" t="s">
        <v>162</v>
      </c>
      <c r="C26" s="106">
        <v>6420090</v>
      </c>
      <c r="D26" s="135" t="s">
        <v>76</v>
      </c>
      <c r="E26" s="172" t="s">
        <v>164</v>
      </c>
      <c r="F26" s="172">
        <v>876</v>
      </c>
      <c r="G26" s="172" t="s">
        <v>294</v>
      </c>
      <c r="H26" s="172">
        <v>1</v>
      </c>
      <c r="I26" s="144" t="s">
        <v>274</v>
      </c>
      <c r="J26" s="172" t="s">
        <v>161</v>
      </c>
      <c r="K26" s="145">
        <v>600</v>
      </c>
      <c r="L26" s="14" t="s">
        <v>258</v>
      </c>
      <c r="M26" s="14">
        <v>2013</v>
      </c>
      <c r="N26" s="172">
        <v>6</v>
      </c>
      <c r="O26" s="172"/>
      <c r="P26" s="166"/>
      <c r="Q26" s="166"/>
      <c r="R26" s="171" t="s">
        <v>6</v>
      </c>
      <c r="S26" s="31">
        <v>36.057160000000003</v>
      </c>
      <c r="T26" s="23">
        <f t="shared" si="2"/>
        <v>36.057160000000003</v>
      </c>
      <c r="U26" s="23">
        <v>36.057160000000003</v>
      </c>
      <c r="V26" s="23"/>
      <c r="W26" s="23">
        <f t="shared" si="3"/>
        <v>36.057160000000003</v>
      </c>
      <c r="X26" s="23">
        <v>36.057160000000003</v>
      </c>
      <c r="Y26" s="23"/>
      <c r="Z26" s="28">
        <f t="shared" si="4"/>
        <v>0</v>
      </c>
      <c r="AA26" s="31">
        <f t="shared" si="0"/>
        <v>0</v>
      </c>
      <c r="AB26" s="28">
        <f t="shared" si="0"/>
        <v>0</v>
      </c>
      <c r="AC26" s="5">
        <f t="shared" si="1"/>
        <v>563.94284000000005</v>
      </c>
      <c r="AE26" s="5"/>
      <c r="AG26" s="5">
        <f t="shared" si="5"/>
        <v>0</v>
      </c>
      <c r="AH26" s="9">
        <f>[1]TDSheet!$J$3417+[1]TDSheet!$J$3422</f>
        <v>547.14</v>
      </c>
      <c r="AI26" s="5">
        <f t="shared" si="6"/>
        <v>-52.860000000000014</v>
      </c>
    </row>
    <row r="27" spans="1:35" ht="15.75">
      <c r="A27" s="134">
        <v>5</v>
      </c>
      <c r="B27" s="172" t="s">
        <v>162</v>
      </c>
      <c r="C27" s="106">
        <v>6400000</v>
      </c>
      <c r="D27" s="135" t="s">
        <v>22</v>
      </c>
      <c r="E27" s="172" t="s">
        <v>165</v>
      </c>
      <c r="F27" s="172">
        <v>876</v>
      </c>
      <c r="G27" s="172" t="s">
        <v>294</v>
      </c>
      <c r="H27" s="172">
        <v>1</v>
      </c>
      <c r="I27" s="144" t="s">
        <v>274</v>
      </c>
      <c r="J27" s="172" t="s">
        <v>161</v>
      </c>
      <c r="K27" s="145">
        <v>110</v>
      </c>
      <c r="L27" s="14" t="s">
        <v>258</v>
      </c>
      <c r="M27" s="14">
        <v>2013</v>
      </c>
      <c r="N27" s="172">
        <v>6</v>
      </c>
      <c r="O27" s="172"/>
      <c r="P27" s="166"/>
      <c r="Q27" s="166"/>
      <c r="R27" s="171" t="s">
        <v>4</v>
      </c>
      <c r="S27" s="31">
        <v>15.54602</v>
      </c>
      <c r="T27" s="23">
        <f t="shared" si="2"/>
        <v>0</v>
      </c>
      <c r="U27" s="23">
        <v>0</v>
      </c>
      <c r="V27" s="23"/>
      <c r="W27" s="23">
        <f t="shared" si="3"/>
        <v>15.54602</v>
      </c>
      <c r="X27" s="23">
        <v>15.54602</v>
      </c>
      <c r="Y27" s="23"/>
      <c r="Z27" s="28">
        <f t="shared" si="4"/>
        <v>15.54602</v>
      </c>
      <c r="AA27" s="31">
        <f t="shared" si="0"/>
        <v>15.54602</v>
      </c>
      <c r="AB27" s="28">
        <f t="shared" si="0"/>
        <v>0</v>
      </c>
      <c r="AC27" s="5">
        <f t="shared" si="1"/>
        <v>94.453980000000001</v>
      </c>
      <c r="AE27" s="5"/>
      <c r="AG27" s="5">
        <f t="shared" si="5"/>
        <v>-15.54602</v>
      </c>
      <c r="AH27" s="9">
        <f>[1]TDSheet!$J$3373</f>
        <v>61.97</v>
      </c>
      <c r="AI27" s="5">
        <f t="shared" si="6"/>
        <v>-48.03</v>
      </c>
    </row>
    <row r="28" spans="1:35" ht="15.75">
      <c r="A28" s="134">
        <v>6</v>
      </c>
      <c r="B28" s="172" t="s">
        <v>162</v>
      </c>
      <c r="C28" s="106">
        <v>6420000</v>
      </c>
      <c r="D28" s="135" t="s">
        <v>23</v>
      </c>
      <c r="E28" s="172" t="s">
        <v>165</v>
      </c>
      <c r="F28" s="172">
        <v>876</v>
      </c>
      <c r="G28" s="172" t="s">
        <v>294</v>
      </c>
      <c r="H28" s="172">
        <v>1</v>
      </c>
      <c r="I28" s="144" t="s">
        <v>274</v>
      </c>
      <c r="J28" s="172" t="s">
        <v>161</v>
      </c>
      <c r="K28" s="145">
        <v>5</v>
      </c>
      <c r="L28" s="14" t="s">
        <v>258</v>
      </c>
      <c r="M28" s="14">
        <v>2013</v>
      </c>
      <c r="N28" s="172">
        <v>6</v>
      </c>
      <c r="O28" s="172"/>
      <c r="P28" s="166"/>
      <c r="Q28" s="166"/>
      <c r="R28" s="171" t="s">
        <v>4</v>
      </c>
      <c r="S28" s="31"/>
      <c r="T28" s="23">
        <f t="shared" si="2"/>
        <v>0</v>
      </c>
      <c r="U28" s="23"/>
      <c r="V28" s="23"/>
      <c r="W28" s="23">
        <f t="shared" si="3"/>
        <v>0</v>
      </c>
      <c r="X28" s="23"/>
      <c r="Y28" s="23"/>
      <c r="Z28" s="28">
        <f t="shared" si="4"/>
        <v>0</v>
      </c>
      <c r="AA28" s="31">
        <f t="shared" si="0"/>
        <v>0</v>
      </c>
      <c r="AB28" s="28">
        <f t="shared" si="0"/>
        <v>0</v>
      </c>
      <c r="AC28" s="5">
        <f t="shared" si="1"/>
        <v>5</v>
      </c>
      <c r="AE28" s="5">
        <f>K28-AC28</f>
        <v>0</v>
      </c>
      <c r="AG28" s="5">
        <f t="shared" si="5"/>
        <v>0</v>
      </c>
      <c r="AH28" s="9">
        <f>[1]TDSheet!$J$3368</f>
        <v>3.58</v>
      </c>
      <c r="AI28" s="5">
        <f t="shared" si="6"/>
        <v>-1.42</v>
      </c>
    </row>
    <row r="29" spans="1:35" ht="15.75">
      <c r="A29" s="134">
        <v>7</v>
      </c>
      <c r="B29" s="172" t="s">
        <v>162</v>
      </c>
      <c r="C29" s="106">
        <v>6420000</v>
      </c>
      <c r="D29" s="135" t="s">
        <v>81</v>
      </c>
      <c r="E29" s="172" t="s">
        <v>165</v>
      </c>
      <c r="F29" s="172">
        <v>876</v>
      </c>
      <c r="G29" s="172" t="s">
        <v>294</v>
      </c>
      <c r="H29" s="172">
        <v>1</v>
      </c>
      <c r="I29" s="144" t="s">
        <v>274</v>
      </c>
      <c r="J29" s="172" t="s">
        <v>161</v>
      </c>
      <c r="K29" s="145">
        <f>1470-400</f>
        <v>1070</v>
      </c>
      <c r="L29" s="14" t="s">
        <v>258</v>
      </c>
      <c r="M29" s="14">
        <v>2013</v>
      </c>
      <c r="N29" s="172">
        <v>6</v>
      </c>
      <c r="O29" s="172"/>
      <c r="P29" s="166"/>
      <c r="Q29" s="166"/>
      <c r="R29" s="171" t="s">
        <v>4</v>
      </c>
      <c r="S29" s="80">
        <f>284.78588</f>
        <v>284.78588000000002</v>
      </c>
      <c r="T29" s="26">
        <f t="shared" si="2"/>
        <v>125.78904</v>
      </c>
      <c r="U29" s="26">
        <f>99.58064+26.2084</f>
        <v>125.78904</v>
      </c>
      <c r="V29" s="26"/>
      <c r="W29" s="26">
        <f t="shared" si="3"/>
        <v>352.95564000000002</v>
      </c>
      <c r="X29" s="26">
        <f>253.58818+99.36746</f>
        <v>352.95564000000002</v>
      </c>
      <c r="Y29" s="26"/>
      <c r="Z29" s="28">
        <f t="shared" si="4"/>
        <v>227.16660000000002</v>
      </c>
      <c r="AA29" s="31">
        <f t="shared" si="0"/>
        <v>227.16660000000002</v>
      </c>
      <c r="AB29" s="28">
        <f t="shared" si="0"/>
        <v>0</v>
      </c>
      <c r="AC29" s="5">
        <f t="shared" si="1"/>
        <v>717.04435999999998</v>
      </c>
      <c r="AE29" s="5"/>
      <c r="AG29" s="5">
        <f t="shared" si="5"/>
        <v>-227.16660000000002</v>
      </c>
      <c r="AH29" s="9">
        <f>[1]TDSheet!$J$3326+[1]TDSheet!$J$3345</f>
        <v>534.32000000000005</v>
      </c>
      <c r="AI29" s="5">
        <f t="shared" si="6"/>
        <v>-535.67999999999995</v>
      </c>
    </row>
    <row r="30" spans="1:35" ht="47.25">
      <c r="A30" s="134">
        <v>8</v>
      </c>
      <c r="B30" s="172" t="s">
        <v>162</v>
      </c>
      <c r="C30" s="106">
        <v>6420019</v>
      </c>
      <c r="D30" s="135" t="s">
        <v>79</v>
      </c>
      <c r="E30" s="172" t="s">
        <v>166</v>
      </c>
      <c r="F30" s="172">
        <v>876</v>
      </c>
      <c r="G30" s="172" t="s">
        <v>294</v>
      </c>
      <c r="H30" s="172">
        <v>1</v>
      </c>
      <c r="I30" s="144" t="s">
        <v>274</v>
      </c>
      <c r="J30" s="172" t="s">
        <v>161</v>
      </c>
      <c r="K30" s="145">
        <f>60+400+800</f>
        <v>1260</v>
      </c>
      <c r="L30" s="14" t="s">
        <v>258</v>
      </c>
      <c r="M30" s="14">
        <v>2013</v>
      </c>
      <c r="N30" s="172">
        <v>6</v>
      </c>
      <c r="O30" s="172"/>
      <c r="P30" s="166"/>
      <c r="Q30" s="166"/>
      <c r="R30" s="171" t="s">
        <v>4</v>
      </c>
      <c r="S30" s="80">
        <v>12.29843</v>
      </c>
      <c r="T30" s="26">
        <f t="shared" si="2"/>
        <v>8.0434900000000003</v>
      </c>
      <c r="U30" s="26">
        <v>8.0434900000000003</v>
      </c>
      <c r="V30" s="26"/>
      <c r="W30" s="26">
        <f t="shared" si="3"/>
        <v>280.34343000000001</v>
      </c>
      <c r="X30" s="26">
        <v>280.34343000000001</v>
      </c>
      <c r="Y30" s="26"/>
      <c r="Z30" s="28">
        <f t="shared" si="4"/>
        <v>272.29993999999999</v>
      </c>
      <c r="AA30" s="31">
        <f t="shared" si="0"/>
        <v>272.29993999999999</v>
      </c>
      <c r="AB30" s="28">
        <f t="shared" si="0"/>
        <v>0</v>
      </c>
      <c r="AC30" s="5">
        <f t="shared" si="1"/>
        <v>979.65656999999999</v>
      </c>
      <c r="AE30" s="5"/>
      <c r="AG30" s="5">
        <f t="shared" si="5"/>
        <v>-272.29993999999999</v>
      </c>
      <c r="AH30" s="9">
        <f>[1]TDSheet!$J$3351+[1]TDSheet!$J$3992</f>
        <v>916.39</v>
      </c>
      <c r="AI30" s="5">
        <f t="shared" si="6"/>
        <v>-343.61</v>
      </c>
    </row>
    <row r="31" spans="1:35" ht="30">
      <c r="A31" s="134">
        <v>9</v>
      </c>
      <c r="B31" s="172" t="s">
        <v>162</v>
      </c>
      <c r="C31" s="106">
        <v>6420000</v>
      </c>
      <c r="D31" s="135" t="s">
        <v>80</v>
      </c>
      <c r="E31" s="172" t="s">
        <v>165</v>
      </c>
      <c r="F31" s="172">
        <v>876</v>
      </c>
      <c r="G31" s="172" t="s">
        <v>294</v>
      </c>
      <c r="H31" s="172">
        <v>1</v>
      </c>
      <c r="I31" s="144" t="s">
        <v>274</v>
      </c>
      <c r="J31" s="172" t="s">
        <v>161</v>
      </c>
      <c r="K31" s="145">
        <v>65</v>
      </c>
      <c r="L31" s="14" t="s">
        <v>258</v>
      </c>
      <c r="M31" s="14">
        <v>2013</v>
      </c>
      <c r="N31" s="172">
        <v>6</v>
      </c>
      <c r="O31" s="172"/>
      <c r="P31" s="166"/>
      <c r="Q31" s="166"/>
      <c r="R31" s="171" t="s">
        <v>4</v>
      </c>
      <c r="S31" s="80"/>
      <c r="T31" s="26">
        <f t="shared" si="2"/>
        <v>0</v>
      </c>
      <c r="U31" s="26"/>
      <c r="V31" s="26"/>
      <c r="W31" s="26">
        <f t="shared" si="3"/>
        <v>0</v>
      </c>
      <c r="X31" s="26"/>
      <c r="Y31" s="26"/>
      <c r="Z31" s="28">
        <f t="shared" si="4"/>
        <v>0</v>
      </c>
      <c r="AA31" s="31">
        <f t="shared" si="0"/>
        <v>0</v>
      </c>
      <c r="AB31" s="28">
        <f t="shared" si="0"/>
        <v>0</v>
      </c>
      <c r="AC31" s="5">
        <f t="shared" si="1"/>
        <v>65</v>
      </c>
      <c r="AE31" s="5">
        <f>K31-AC31</f>
        <v>0</v>
      </c>
      <c r="AG31" s="5">
        <f t="shared" si="5"/>
        <v>0</v>
      </c>
      <c r="AH31" s="9"/>
      <c r="AI31" s="5">
        <f t="shared" si="6"/>
        <v>-65</v>
      </c>
    </row>
    <row r="32" spans="1:35" ht="15.75">
      <c r="A32" s="134">
        <v>10</v>
      </c>
      <c r="B32" s="172" t="s">
        <v>162</v>
      </c>
      <c r="C32" s="106">
        <v>6220050</v>
      </c>
      <c r="D32" s="135" t="s">
        <v>24</v>
      </c>
      <c r="E32" s="172" t="s">
        <v>167</v>
      </c>
      <c r="F32" s="172">
        <v>876</v>
      </c>
      <c r="G32" s="172" t="s">
        <v>294</v>
      </c>
      <c r="H32" s="172">
        <v>1</v>
      </c>
      <c r="I32" s="144" t="s">
        <v>274</v>
      </c>
      <c r="J32" s="172" t="s">
        <v>161</v>
      </c>
      <c r="K32" s="145">
        <v>157600</v>
      </c>
      <c r="L32" s="14" t="s">
        <v>258</v>
      </c>
      <c r="M32" s="14">
        <v>2013</v>
      </c>
      <c r="N32" s="172">
        <v>6</v>
      </c>
      <c r="O32" s="172"/>
      <c r="P32" s="166"/>
      <c r="Q32" s="166"/>
      <c r="R32" s="171" t="s">
        <v>4</v>
      </c>
      <c r="S32" s="80">
        <v>10292.914500000001</v>
      </c>
      <c r="T32" s="26">
        <f t="shared" si="2"/>
        <v>10292.914500000001</v>
      </c>
      <c r="U32" s="26">
        <f>10292.9145</f>
        <v>10292.914500000001</v>
      </c>
      <c r="V32" s="26"/>
      <c r="W32" s="26">
        <f t="shared" si="3"/>
        <v>11042.914500000001</v>
      </c>
      <c r="X32" s="26">
        <f>11042.9145</f>
        <v>11042.914500000001</v>
      </c>
      <c r="Y32" s="26"/>
      <c r="Z32" s="28">
        <f t="shared" si="4"/>
        <v>750</v>
      </c>
      <c r="AA32" s="31">
        <f t="shared" si="0"/>
        <v>750</v>
      </c>
      <c r="AB32" s="28">
        <f t="shared" si="0"/>
        <v>0</v>
      </c>
      <c r="AC32" s="5">
        <f t="shared" si="1"/>
        <v>146557.08549999999</v>
      </c>
      <c r="AE32" s="5"/>
      <c r="AG32" s="5">
        <f t="shared" si="5"/>
        <v>-750</v>
      </c>
      <c r="AH32" s="9">
        <f>[1]TDSheet!$J$3242</f>
        <v>477258.11</v>
      </c>
      <c r="AI32" s="5">
        <f>AH32-K32-K33</f>
        <v>-44442.090000000026</v>
      </c>
    </row>
    <row r="33" spans="1:35" ht="15.75">
      <c r="A33" s="134">
        <v>11</v>
      </c>
      <c r="B33" s="172" t="s">
        <v>162</v>
      </c>
      <c r="C33" s="106">
        <v>6220050</v>
      </c>
      <c r="D33" s="135" t="s">
        <v>25</v>
      </c>
      <c r="E33" s="172" t="s">
        <v>167</v>
      </c>
      <c r="F33" s="172">
        <v>876</v>
      </c>
      <c r="G33" s="172" t="s">
        <v>294</v>
      </c>
      <c r="H33" s="172">
        <v>1</v>
      </c>
      <c r="I33" s="144" t="s">
        <v>274</v>
      </c>
      <c r="J33" s="172" t="s">
        <v>161</v>
      </c>
      <c r="K33" s="145">
        <v>364100.2</v>
      </c>
      <c r="L33" s="14" t="s">
        <v>258</v>
      </c>
      <c r="M33" s="14">
        <v>2013</v>
      </c>
      <c r="N33" s="172">
        <v>6</v>
      </c>
      <c r="O33" s="172"/>
      <c r="P33" s="166"/>
      <c r="Q33" s="166"/>
      <c r="R33" s="171" t="s">
        <v>4</v>
      </c>
      <c r="S33" s="80"/>
      <c r="T33" s="26">
        <f t="shared" si="2"/>
        <v>0</v>
      </c>
      <c r="U33" s="26"/>
      <c r="V33" s="26"/>
      <c r="W33" s="26">
        <f t="shared" si="3"/>
        <v>0</v>
      </c>
      <c r="X33" s="26"/>
      <c r="Y33" s="26"/>
      <c r="Z33" s="28">
        <f t="shared" si="4"/>
        <v>0</v>
      </c>
      <c r="AA33" s="31">
        <f t="shared" si="0"/>
        <v>0</v>
      </c>
      <c r="AB33" s="28">
        <f t="shared" si="0"/>
        <v>0</v>
      </c>
      <c r="AC33" s="5">
        <f t="shared" si="1"/>
        <v>364100.2</v>
      </c>
      <c r="AE33" s="5">
        <f>K33-AC33</f>
        <v>0</v>
      </c>
      <c r="AG33" s="5">
        <f t="shared" si="5"/>
        <v>0</v>
      </c>
      <c r="AH33" s="9"/>
      <c r="AI33" s="5"/>
    </row>
    <row r="34" spans="1:35" ht="30">
      <c r="A34" s="134">
        <v>12</v>
      </c>
      <c r="B34" s="172" t="s">
        <v>162</v>
      </c>
      <c r="C34" s="106">
        <v>9212020</v>
      </c>
      <c r="D34" s="135" t="s">
        <v>119</v>
      </c>
      <c r="E34" s="172" t="s">
        <v>167</v>
      </c>
      <c r="F34" s="172">
        <v>876</v>
      </c>
      <c r="G34" s="172" t="s">
        <v>294</v>
      </c>
      <c r="H34" s="172">
        <v>1</v>
      </c>
      <c r="I34" s="144" t="s">
        <v>274</v>
      </c>
      <c r="J34" s="172" t="s">
        <v>161</v>
      </c>
      <c r="K34" s="145">
        <f>2153.112*0.5</f>
        <v>1076.556</v>
      </c>
      <c r="L34" s="14" t="s">
        <v>258</v>
      </c>
      <c r="M34" s="14">
        <v>2013</v>
      </c>
      <c r="N34" s="172">
        <v>6</v>
      </c>
      <c r="O34" s="172"/>
      <c r="P34" s="166"/>
      <c r="Q34" s="166"/>
      <c r="R34" s="171" t="s">
        <v>4</v>
      </c>
      <c r="S34" s="80"/>
      <c r="T34" s="26">
        <f t="shared" si="2"/>
        <v>0</v>
      </c>
      <c r="U34" s="26"/>
      <c r="V34" s="26"/>
      <c r="W34" s="26">
        <f t="shared" si="3"/>
        <v>0</v>
      </c>
      <c r="X34" s="26"/>
      <c r="Y34" s="26"/>
      <c r="Z34" s="28">
        <f t="shared" si="4"/>
        <v>0</v>
      </c>
      <c r="AA34" s="31">
        <f t="shared" si="0"/>
        <v>0</v>
      </c>
      <c r="AB34" s="28">
        <f t="shared" si="0"/>
        <v>0</v>
      </c>
      <c r="AC34" s="5">
        <f t="shared" si="1"/>
        <v>1076.556</v>
      </c>
      <c r="AE34" s="5">
        <f>K34-AC34</f>
        <v>0</v>
      </c>
      <c r="AG34" s="5">
        <f t="shared" si="5"/>
        <v>0</v>
      </c>
      <c r="AH34" s="9"/>
      <c r="AI34" s="5">
        <f t="shared" si="6"/>
        <v>-1076.556</v>
      </c>
    </row>
    <row r="35" spans="1:35" ht="30">
      <c r="A35" s="134">
        <v>13</v>
      </c>
      <c r="B35" s="172" t="s">
        <v>162</v>
      </c>
      <c r="C35" s="106">
        <v>9212020</v>
      </c>
      <c r="D35" s="135" t="s">
        <v>82</v>
      </c>
      <c r="E35" s="172" t="s">
        <v>167</v>
      </c>
      <c r="F35" s="172">
        <v>876</v>
      </c>
      <c r="G35" s="172" t="s">
        <v>294</v>
      </c>
      <c r="H35" s="172">
        <v>1</v>
      </c>
      <c r="I35" s="144" t="s">
        <v>274</v>
      </c>
      <c r="J35" s="172" t="s">
        <v>161</v>
      </c>
      <c r="K35" s="145">
        <v>476.56</v>
      </c>
      <c r="L35" s="14" t="s">
        <v>258</v>
      </c>
      <c r="M35" s="14">
        <v>2013</v>
      </c>
      <c r="N35" s="172">
        <v>6</v>
      </c>
      <c r="O35" s="172"/>
      <c r="P35" s="166"/>
      <c r="Q35" s="166"/>
      <c r="R35" s="171" t="s">
        <v>4</v>
      </c>
      <c r="S35" s="80"/>
      <c r="T35" s="26">
        <f t="shared" si="2"/>
        <v>0</v>
      </c>
      <c r="U35" s="26"/>
      <c r="V35" s="26"/>
      <c r="W35" s="26">
        <f t="shared" si="3"/>
        <v>0</v>
      </c>
      <c r="X35" s="26"/>
      <c r="Y35" s="26"/>
      <c r="Z35" s="28">
        <f t="shared" si="4"/>
        <v>0</v>
      </c>
      <c r="AA35" s="31">
        <f t="shared" si="0"/>
        <v>0</v>
      </c>
      <c r="AB35" s="28">
        <f t="shared" si="0"/>
        <v>0</v>
      </c>
      <c r="AC35" s="5">
        <f t="shared" si="1"/>
        <v>476.56</v>
      </c>
      <c r="AE35" s="5">
        <f>K35-AC35</f>
        <v>0</v>
      </c>
      <c r="AG35" s="5">
        <f t="shared" si="5"/>
        <v>0</v>
      </c>
      <c r="AH35" s="9"/>
      <c r="AI35" s="5">
        <f t="shared" si="6"/>
        <v>-476.56</v>
      </c>
    </row>
    <row r="36" spans="1:35" ht="15.75">
      <c r="A36" s="134">
        <v>14</v>
      </c>
      <c r="B36" s="172" t="s">
        <v>162</v>
      </c>
      <c r="C36" s="106">
        <v>4110100</v>
      </c>
      <c r="D36" s="135" t="s">
        <v>12</v>
      </c>
      <c r="E36" s="172" t="s">
        <v>167</v>
      </c>
      <c r="F36" s="172">
        <v>876</v>
      </c>
      <c r="G36" s="172" t="s">
        <v>294</v>
      </c>
      <c r="H36" s="172">
        <v>1</v>
      </c>
      <c r="I36" s="144" t="s">
        <v>274</v>
      </c>
      <c r="J36" s="172" t="s">
        <v>161</v>
      </c>
      <c r="K36" s="145">
        <v>175.88</v>
      </c>
      <c r="L36" s="14" t="s">
        <v>258</v>
      </c>
      <c r="M36" s="14">
        <v>2013</v>
      </c>
      <c r="N36" s="172">
        <v>6</v>
      </c>
      <c r="O36" s="172"/>
      <c r="P36" s="166"/>
      <c r="Q36" s="166"/>
      <c r="R36" s="171" t="s">
        <v>6</v>
      </c>
      <c r="S36" s="31">
        <v>0.90737000000000001</v>
      </c>
      <c r="T36" s="23">
        <f t="shared" si="2"/>
        <v>0.90737000000000001</v>
      </c>
      <c r="U36" s="23">
        <v>0.90737000000000001</v>
      </c>
      <c r="V36" s="23"/>
      <c r="W36" s="23">
        <f t="shared" si="3"/>
        <v>1.4366699999999999</v>
      </c>
      <c r="X36" s="23">
        <v>1.4366699999999999</v>
      </c>
      <c r="Y36" s="23"/>
      <c r="Z36" s="28">
        <f t="shared" si="4"/>
        <v>0.52929999999999988</v>
      </c>
      <c r="AA36" s="31">
        <f t="shared" si="0"/>
        <v>0.52929999999999988</v>
      </c>
      <c r="AB36" s="28">
        <f t="shared" si="0"/>
        <v>0</v>
      </c>
      <c r="AC36" s="5">
        <f t="shared" si="1"/>
        <v>174.44333</v>
      </c>
      <c r="AE36" s="5"/>
      <c r="AG36" s="5">
        <f t="shared" si="5"/>
        <v>-0.52929999999999988</v>
      </c>
      <c r="AH36" s="9">
        <f>[1]TDSheet!$J$511+[1]TDSheet!$J$521+[1]TDSheet!$J$526+[1]TDSheet!$J$1506</f>
        <v>53.3</v>
      </c>
      <c r="AI36" s="5">
        <f>AH36-K36</f>
        <v>-122.58</v>
      </c>
    </row>
    <row r="37" spans="1:35" ht="15.75">
      <c r="A37" s="134">
        <v>15</v>
      </c>
      <c r="B37" s="172" t="s">
        <v>162</v>
      </c>
      <c r="C37" s="106">
        <v>4010000</v>
      </c>
      <c r="D37" s="135" t="s">
        <v>13</v>
      </c>
      <c r="E37" s="172" t="s">
        <v>167</v>
      </c>
      <c r="F37" s="172">
        <v>876</v>
      </c>
      <c r="G37" s="172" t="s">
        <v>294</v>
      </c>
      <c r="H37" s="172">
        <v>1</v>
      </c>
      <c r="I37" s="144" t="s">
        <v>274</v>
      </c>
      <c r="J37" s="172" t="s">
        <v>161</v>
      </c>
      <c r="K37" s="145">
        <v>728.96</v>
      </c>
      <c r="L37" s="14" t="s">
        <v>258</v>
      </c>
      <c r="M37" s="14">
        <v>2013</v>
      </c>
      <c r="N37" s="172">
        <v>6</v>
      </c>
      <c r="O37" s="172"/>
      <c r="P37" s="166"/>
      <c r="Q37" s="166"/>
      <c r="R37" s="171" t="s">
        <v>6</v>
      </c>
      <c r="S37" s="31">
        <v>76.024349999999998</v>
      </c>
      <c r="T37" s="23">
        <f t="shared" si="2"/>
        <v>47.820630000000001</v>
      </c>
      <c r="U37" s="23">
        <v>47.820630000000001</v>
      </c>
      <c r="V37" s="23"/>
      <c r="W37" s="23">
        <f t="shared" si="3"/>
        <v>102.87039</v>
      </c>
      <c r="X37" s="23">
        <v>102.87039</v>
      </c>
      <c r="Y37" s="23"/>
      <c r="Z37" s="28">
        <f t="shared" si="4"/>
        <v>55.049759999999999</v>
      </c>
      <c r="AA37" s="31">
        <f t="shared" si="0"/>
        <v>55.049759999999999</v>
      </c>
      <c r="AB37" s="28">
        <f t="shared" si="0"/>
        <v>0</v>
      </c>
      <c r="AC37" s="5">
        <f t="shared" si="1"/>
        <v>626.08960999999999</v>
      </c>
      <c r="AE37" s="5"/>
      <c r="AG37" s="5">
        <f t="shared" si="5"/>
        <v>-55.049759999999999</v>
      </c>
      <c r="AH37" s="9">
        <f>[1]TDSheet!$J$538+[1]TDSheet!$J$2764+[1]TDSheet!$J$3460</f>
        <v>479.72999999999996</v>
      </c>
      <c r="AI37" s="5">
        <f t="shared" si="6"/>
        <v>-249.23000000000008</v>
      </c>
    </row>
    <row r="38" spans="1:35" ht="15.75">
      <c r="A38" s="134">
        <v>16</v>
      </c>
      <c r="B38" s="172" t="s">
        <v>162</v>
      </c>
      <c r="C38" s="106">
        <v>4030020</v>
      </c>
      <c r="D38" s="135" t="s">
        <v>14</v>
      </c>
      <c r="E38" s="172" t="s">
        <v>167</v>
      </c>
      <c r="F38" s="172">
        <v>876</v>
      </c>
      <c r="G38" s="172" t="s">
        <v>294</v>
      </c>
      <c r="H38" s="172">
        <v>1</v>
      </c>
      <c r="I38" s="144" t="s">
        <v>274</v>
      </c>
      <c r="J38" s="172" t="s">
        <v>161</v>
      </c>
      <c r="K38" s="145">
        <f>675.35+900</f>
        <v>1575.35</v>
      </c>
      <c r="L38" s="14" t="s">
        <v>258</v>
      </c>
      <c r="M38" s="14">
        <v>2013</v>
      </c>
      <c r="N38" s="172">
        <v>6</v>
      </c>
      <c r="O38" s="172"/>
      <c r="P38" s="166"/>
      <c r="Q38" s="166"/>
      <c r="R38" s="171" t="s">
        <v>6</v>
      </c>
      <c r="S38" s="31">
        <v>319.79099000000002</v>
      </c>
      <c r="T38" s="23">
        <f t="shared" si="2"/>
        <v>294.64913000000001</v>
      </c>
      <c r="U38" s="23">
        <v>294.64913000000001</v>
      </c>
      <c r="V38" s="23"/>
      <c r="W38" s="23">
        <f t="shared" si="3"/>
        <v>414.95783999999998</v>
      </c>
      <c r="X38" s="23">
        <v>414.95783999999998</v>
      </c>
      <c r="Y38" s="23"/>
      <c r="Z38" s="28">
        <f t="shared" si="4"/>
        <v>120.30870999999996</v>
      </c>
      <c r="AA38" s="31">
        <f t="shared" si="0"/>
        <v>120.30870999999996</v>
      </c>
      <c r="AB38" s="28">
        <f t="shared" si="0"/>
        <v>0</v>
      </c>
      <c r="AC38" s="5">
        <f t="shared" si="1"/>
        <v>1160.3921599999999</v>
      </c>
      <c r="AE38" s="5"/>
      <c r="AG38" s="5">
        <f t="shared" si="5"/>
        <v>-120.30870999999996</v>
      </c>
      <c r="AH38" s="9">
        <f>[1]TDSheet!$J$531+[1]TDSheet!$J$1522</f>
        <v>1162.81</v>
      </c>
      <c r="AI38" s="5">
        <f t="shared" si="6"/>
        <v>-412.53999999999996</v>
      </c>
    </row>
    <row r="39" spans="1:35" ht="31.5">
      <c r="A39" s="134">
        <v>17</v>
      </c>
      <c r="B39" s="172" t="s">
        <v>162</v>
      </c>
      <c r="C39" s="106">
        <v>9010020</v>
      </c>
      <c r="D39" s="135" t="s">
        <v>26</v>
      </c>
      <c r="E39" s="172" t="s">
        <v>168</v>
      </c>
      <c r="F39" s="172">
        <v>876</v>
      </c>
      <c r="G39" s="172" t="s">
        <v>294</v>
      </c>
      <c r="H39" s="172">
        <v>1</v>
      </c>
      <c r="I39" s="144" t="s">
        <v>274</v>
      </c>
      <c r="J39" s="172" t="s">
        <v>161</v>
      </c>
      <c r="K39" s="145">
        <v>10</v>
      </c>
      <c r="L39" s="14" t="s">
        <v>258</v>
      </c>
      <c r="M39" s="14">
        <v>2013</v>
      </c>
      <c r="N39" s="172">
        <v>6</v>
      </c>
      <c r="O39" s="172"/>
      <c r="P39" s="166"/>
      <c r="Q39" s="166"/>
      <c r="R39" s="171" t="s">
        <v>6</v>
      </c>
      <c r="S39" s="31">
        <f>1.17</f>
        <v>1.17</v>
      </c>
      <c r="T39" s="23">
        <f t="shared" si="2"/>
        <v>0</v>
      </c>
      <c r="U39" s="23">
        <v>0</v>
      </c>
      <c r="V39" s="23"/>
      <c r="W39" s="23">
        <f t="shared" si="3"/>
        <v>1.17</v>
      </c>
      <c r="X39" s="23">
        <v>1.17</v>
      </c>
      <c r="Y39" s="23"/>
      <c r="Z39" s="28">
        <f t="shared" si="4"/>
        <v>1.17</v>
      </c>
      <c r="AA39" s="31">
        <f t="shared" si="0"/>
        <v>1.17</v>
      </c>
      <c r="AB39" s="28">
        <f t="shared" si="0"/>
        <v>0</v>
      </c>
      <c r="AC39" s="5">
        <f t="shared" si="1"/>
        <v>8.83</v>
      </c>
      <c r="AE39" s="5"/>
      <c r="AG39" s="5">
        <f t="shared" si="5"/>
        <v>-1.17</v>
      </c>
      <c r="AH39" s="9">
        <f>[1]TDSheet!$J$2768</f>
        <v>4.5</v>
      </c>
      <c r="AI39" s="5">
        <f t="shared" si="6"/>
        <v>-5.5</v>
      </c>
    </row>
    <row r="40" spans="1:35" ht="15.75">
      <c r="A40" s="134">
        <v>18</v>
      </c>
      <c r="B40" s="172" t="s">
        <v>162</v>
      </c>
      <c r="C40" s="106">
        <v>7522020</v>
      </c>
      <c r="D40" s="135" t="s">
        <v>27</v>
      </c>
      <c r="E40" s="172" t="s">
        <v>167</v>
      </c>
      <c r="F40" s="172">
        <v>876</v>
      </c>
      <c r="G40" s="172" t="s">
        <v>294</v>
      </c>
      <c r="H40" s="172">
        <v>1</v>
      </c>
      <c r="I40" s="144" t="s">
        <v>274</v>
      </c>
      <c r="J40" s="172" t="s">
        <v>161</v>
      </c>
      <c r="K40" s="145">
        <v>0</v>
      </c>
      <c r="L40" s="14" t="s">
        <v>258</v>
      </c>
      <c r="M40" s="14">
        <v>2013</v>
      </c>
      <c r="N40" s="172">
        <v>6</v>
      </c>
      <c r="O40" s="172"/>
      <c r="P40" s="166"/>
      <c r="Q40" s="166"/>
      <c r="R40" s="171" t="s">
        <v>4</v>
      </c>
      <c r="S40" s="31"/>
      <c r="T40" s="23">
        <f t="shared" si="2"/>
        <v>0</v>
      </c>
      <c r="U40" s="23"/>
      <c r="V40" s="23"/>
      <c r="W40" s="23">
        <f t="shared" si="3"/>
        <v>0</v>
      </c>
      <c r="X40" s="23"/>
      <c r="Y40" s="23"/>
      <c r="Z40" s="28">
        <f t="shared" si="4"/>
        <v>0</v>
      </c>
      <c r="AA40" s="31">
        <f t="shared" si="0"/>
        <v>0</v>
      </c>
      <c r="AB40" s="28">
        <f t="shared" si="0"/>
        <v>0</v>
      </c>
      <c r="AC40" s="5">
        <f t="shared" si="1"/>
        <v>0</v>
      </c>
      <c r="AE40" s="5">
        <f>K40-AC40</f>
        <v>0</v>
      </c>
      <c r="AG40" s="5">
        <f t="shared" si="5"/>
        <v>0</v>
      </c>
      <c r="AH40" s="9"/>
      <c r="AI40" s="5">
        <f t="shared" si="6"/>
        <v>0</v>
      </c>
    </row>
    <row r="41" spans="1:35" ht="31.5">
      <c r="A41" s="134">
        <v>19</v>
      </c>
      <c r="B41" s="172" t="s">
        <v>162</v>
      </c>
      <c r="C41" s="146">
        <v>9311000</v>
      </c>
      <c r="D41" s="135" t="s">
        <v>28</v>
      </c>
      <c r="E41" s="172" t="s">
        <v>169</v>
      </c>
      <c r="F41" s="172">
        <v>876</v>
      </c>
      <c r="G41" s="172" t="s">
        <v>294</v>
      </c>
      <c r="H41" s="172">
        <v>1</v>
      </c>
      <c r="I41" s="144" t="s">
        <v>274</v>
      </c>
      <c r="J41" s="172" t="s">
        <v>161</v>
      </c>
      <c r="K41" s="145">
        <v>0</v>
      </c>
      <c r="L41" s="14" t="s">
        <v>258</v>
      </c>
      <c r="M41" s="14">
        <v>2013</v>
      </c>
      <c r="N41" s="172">
        <v>6</v>
      </c>
      <c r="O41" s="172"/>
      <c r="P41" s="166"/>
      <c r="Q41" s="166"/>
      <c r="R41" s="171" t="s">
        <v>4</v>
      </c>
      <c r="S41" s="31"/>
      <c r="T41" s="23">
        <f t="shared" si="2"/>
        <v>0</v>
      </c>
      <c r="U41" s="23"/>
      <c r="V41" s="23"/>
      <c r="W41" s="23">
        <f t="shared" si="3"/>
        <v>0</v>
      </c>
      <c r="X41" s="23"/>
      <c r="Y41" s="23"/>
      <c r="Z41" s="28">
        <f t="shared" si="4"/>
        <v>0</v>
      </c>
      <c r="AA41" s="31">
        <f t="shared" si="0"/>
        <v>0</v>
      </c>
      <c r="AB41" s="28">
        <f t="shared" si="0"/>
        <v>0</v>
      </c>
      <c r="AC41" s="5">
        <f t="shared" si="1"/>
        <v>0</v>
      </c>
      <c r="AE41" s="5">
        <f>K41-AC41</f>
        <v>0</v>
      </c>
      <c r="AG41" s="5">
        <f t="shared" si="5"/>
        <v>0</v>
      </c>
      <c r="AH41" s="9"/>
      <c r="AI41" s="5">
        <f t="shared" si="6"/>
        <v>0</v>
      </c>
    </row>
    <row r="42" spans="1:35" ht="31.5">
      <c r="A42" s="134">
        <v>20</v>
      </c>
      <c r="B42" s="172" t="s">
        <v>162</v>
      </c>
      <c r="C42" s="106">
        <v>2423920</v>
      </c>
      <c r="D42" s="135" t="s">
        <v>29</v>
      </c>
      <c r="E42" s="172" t="s">
        <v>169</v>
      </c>
      <c r="F42" s="172">
        <v>876</v>
      </c>
      <c r="G42" s="172" t="s">
        <v>294</v>
      </c>
      <c r="H42" s="172">
        <v>1</v>
      </c>
      <c r="I42" s="144" t="s">
        <v>274</v>
      </c>
      <c r="J42" s="172" t="s">
        <v>161</v>
      </c>
      <c r="K42" s="145">
        <v>10</v>
      </c>
      <c r="L42" s="14" t="s">
        <v>258</v>
      </c>
      <c r="M42" s="14">
        <v>2013</v>
      </c>
      <c r="N42" s="172">
        <v>6</v>
      </c>
      <c r="O42" s="172"/>
      <c r="P42" s="166"/>
      <c r="Q42" s="166"/>
      <c r="R42" s="171" t="s">
        <v>4</v>
      </c>
      <c r="S42" s="31"/>
      <c r="T42" s="23">
        <f t="shared" si="2"/>
        <v>0</v>
      </c>
      <c r="U42" s="23"/>
      <c r="V42" s="23"/>
      <c r="W42" s="23">
        <f t="shared" si="3"/>
        <v>0</v>
      </c>
      <c r="X42" s="23"/>
      <c r="Y42" s="23"/>
      <c r="Z42" s="28">
        <f t="shared" si="4"/>
        <v>0</v>
      </c>
      <c r="AA42" s="31">
        <f t="shared" si="0"/>
        <v>0</v>
      </c>
      <c r="AB42" s="28">
        <f t="shared" si="0"/>
        <v>0</v>
      </c>
      <c r="AC42" s="5">
        <f t="shared" si="1"/>
        <v>10</v>
      </c>
      <c r="AE42" s="5">
        <f>K42-AC42</f>
        <v>0</v>
      </c>
      <c r="AG42" s="5">
        <f t="shared" si="5"/>
        <v>0</v>
      </c>
      <c r="AH42" s="9">
        <f>[1]TDSheet!$J$519</f>
        <v>5.09</v>
      </c>
      <c r="AI42" s="5">
        <f t="shared" si="6"/>
        <v>-4.91</v>
      </c>
    </row>
    <row r="43" spans="1:35" ht="31.5">
      <c r="A43" s="134">
        <v>21</v>
      </c>
      <c r="B43" s="172" t="s">
        <v>162</v>
      </c>
      <c r="C43" s="146">
        <v>7250010</v>
      </c>
      <c r="D43" s="135" t="s">
        <v>77</v>
      </c>
      <c r="E43" s="172" t="s">
        <v>169</v>
      </c>
      <c r="F43" s="172">
        <v>876</v>
      </c>
      <c r="G43" s="172" t="s">
        <v>294</v>
      </c>
      <c r="H43" s="172">
        <v>1</v>
      </c>
      <c r="I43" s="144" t="s">
        <v>274</v>
      </c>
      <c r="J43" s="172" t="s">
        <v>161</v>
      </c>
      <c r="K43" s="145">
        <v>140</v>
      </c>
      <c r="L43" s="14" t="s">
        <v>258</v>
      </c>
      <c r="M43" s="14">
        <v>2013</v>
      </c>
      <c r="N43" s="172">
        <v>6</v>
      </c>
      <c r="O43" s="172"/>
      <c r="P43" s="166"/>
      <c r="Q43" s="166"/>
      <c r="R43" s="171" t="s">
        <v>4</v>
      </c>
      <c r="S43" s="31">
        <v>10</v>
      </c>
      <c r="T43" s="23">
        <f t="shared" si="2"/>
        <v>0</v>
      </c>
      <c r="U43" s="23">
        <v>0</v>
      </c>
      <c r="V43" s="23"/>
      <c r="W43" s="23">
        <f t="shared" si="3"/>
        <v>1.7</v>
      </c>
      <c r="X43" s="23">
        <v>1.7</v>
      </c>
      <c r="Y43" s="23"/>
      <c r="Z43" s="28">
        <f t="shared" si="4"/>
        <v>1.7</v>
      </c>
      <c r="AA43" s="31">
        <f t="shared" si="0"/>
        <v>1.7</v>
      </c>
      <c r="AB43" s="28">
        <f t="shared" si="0"/>
        <v>0</v>
      </c>
      <c r="AC43" s="5">
        <f t="shared" si="1"/>
        <v>138.30000000000001</v>
      </c>
      <c r="AE43" s="5"/>
      <c r="AG43" s="5">
        <f t="shared" si="5"/>
        <v>-1.7</v>
      </c>
      <c r="AH43" s="9">
        <f>[1]TDSheet!$J$2830</f>
        <v>46.32</v>
      </c>
      <c r="AI43" s="5">
        <f t="shared" si="6"/>
        <v>-93.68</v>
      </c>
    </row>
    <row r="44" spans="1:35" ht="15.75">
      <c r="A44" s="134">
        <v>22</v>
      </c>
      <c r="B44" s="172" t="s">
        <v>162</v>
      </c>
      <c r="C44" s="106">
        <v>5020020</v>
      </c>
      <c r="D44" s="135" t="s">
        <v>30</v>
      </c>
      <c r="E44" s="147" t="s">
        <v>170</v>
      </c>
      <c r="F44" s="147">
        <v>876</v>
      </c>
      <c r="G44" s="172" t="s">
        <v>294</v>
      </c>
      <c r="H44" s="172">
        <v>1</v>
      </c>
      <c r="I44" s="144" t="s">
        <v>274</v>
      </c>
      <c r="J44" s="172" t="s">
        <v>161</v>
      </c>
      <c r="K44" s="145">
        <f>4553.73*0.2</f>
        <v>910.74599999999998</v>
      </c>
      <c r="L44" s="14" t="s">
        <v>258</v>
      </c>
      <c r="M44" s="14">
        <v>2013</v>
      </c>
      <c r="N44" s="172">
        <v>6</v>
      </c>
      <c r="O44" s="172"/>
      <c r="P44" s="166"/>
      <c r="Q44" s="166"/>
      <c r="R44" s="171" t="s">
        <v>4</v>
      </c>
      <c r="S44" s="31">
        <v>97.667000000000002</v>
      </c>
      <c r="T44" s="23">
        <f t="shared" si="2"/>
        <v>100.654</v>
      </c>
      <c r="U44" s="23">
        <v>93.188000000000002</v>
      </c>
      <c r="V44" s="23">
        <v>7.4660000000000002</v>
      </c>
      <c r="W44" s="23">
        <f t="shared" si="3"/>
        <v>144.602</v>
      </c>
      <c r="X44" s="23">
        <v>99.384</v>
      </c>
      <c r="Y44" s="23">
        <v>45.218000000000004</v>
      </c>
      <c r="Z44" s="28">
        <f t="shared" si="4"/>
        <v>43.948</v>
      </c>
      <c r="AA44" s="31">
        <f t="shared" si="0"/>
        <v>6.195999999999998</v>
      </c>
      <c r="AB44" s="28">
        <f t="shared" si="0"/>
        <v>37.752000000000002</v>
      </c>
      <c r="AC44" s="5">
        <f t="shared" si="1"/>
        <v>811.36199999999997</v>
      </c>
      <c r="AE44" s="5"/>
      <c r="AG44" s="5">
        <f t="shared" si="5"/>
        <v>-6.195999999999998</v>
      </c>
      <c r="AH44" s="9">
        <f>[1]TDSheet!$J$2762+[1]TDSheet!$J$2860</f>
        <v>328.46</v>
      </c>
      <c r="AI44" s="5">
        <f t="shared" si="6"/>
        <v>-582.28600000000006</v>
      </c>
    </row>
    <row r="45" spans="1:35" ht="15.75">
      <c r="A45" s="134">
        <v>23</v>
      </c>
      <c r="B45" s="172" t="s">
        <v>162</v>
      </c>
      <c r="C45" s="106">
        <v>5020020</v>
      </c>
      <c r="D45" s="135" t="s">
        <v>78</v>
      </c>
      <c r="E45" s="147" t="s">
        <v>170</v>
      </c>
      <c r="F45" s="147">
        <v>876</v>
      </c>
      <c r="G45" s="172" t="s">
        <v>294</v>
      </c>
      <c r="H45" s="172">
        <v>1</v>
      </c>
      <c r="I45" s="144" t="s">
        <v>274</v>
      </c>
      <c r="J45" s="172" t="s">
        <v>161</v>
      </c>
      <c r="K45" s="145">
        <f>4553.73*0.3</f>
        <v>1366.1189999999999</v>
      </c>
      <c r="L45" s="14" t="s">
        <v>258</v>
      </c>
      <c r="M45" s="14">
        <v>2013</v>
      </c>
      <c r="N45" s="172">
        <v>6</v>
      </c>
      <c r="O45" s="172"/>
      <c r="P45" s="166"/>
      <c r="Q45" s="166"/>
      <c r="R45" s="171" t="s">
        <v>31</v>
      </c>
      <c r="S45" s="31"/>
      <c r="T45" s="23">
        <f t="shared" si="2"/>
        <v>0</v>
      </c>
      <c r="U45" s="23"/>
      <c r="V45" s="23"/>
      <c r="W45" s="23">
        <f t="shared" si="3"/>
        <v>0</v>
      </c>
      <c r="X45" s="23"/>
      <c r="Y45" s="23"/>
      <c r="Z45" s="28">
        <f t="shared" si="4"/>
        <v>0</v>
      </c>
      <c r="AA45" s="31">
        <f t="shared" si="0"/>
        <v>0</v>
      </c>
      <c r="AB45" s="28">
        <f t="shared" si="0"/>
        <v>0</v>
      </c>
      <c r="AC45" s="5">
        <f t="shared" si="1"/>
        <v>1366.1189999999999</v>
      </c>
      <c r="AE45" s="5">
        <f>K45-AC45</f>
        <v>0</v>
      </c>
      <c r="AG45" s="5">
        <f t="shared" si="5"/>
        <v>0</v>
      </c>
      <c r="AH45" s="9"/>
      <c r="AI45" s="5">
        <f t="shared" si="6"/>
        <v>-1366.1189999999999</v>
      </c>
    </row>
    <row r="46" spans="1:35" ht="31.5">
      <c r="A46" s="134">
        <v>24</v>
      </c>
      <c r="B46" s="172" t="s">
        <v>162</v>
      </c>
      <c r="C46" s="146">
        <v>5020020</v>
      </c>
      <c r="D46" s="135" t="s">
        <v>32</v>
      </c>
      <c r="E46" s="172" t="s">
        <v>171</v>
      </c>
      <c r="F46" s="172">
        <v>876</v>
      </c>
      <c r="G46" s="172" t="s">
        <v>294</v>
      </c>
      <c r="H46" s="172">
        <v>1</v>
      </c>
      <c r="I46" s="144" t="s">
        <v>274</v>
      </c>
      <c r="J46" s="172" t="s">
        <v>161</v>
      </c>
      <c r="K46" s="145">
        <f>4553.73*0.2</f>
        <v>910.74599999999998</v>
      </c>
      <c r="L46" s="14" t="s">
        <v>258</v>
      </c>
      <c r="M46" s="14">
        <v>2013</v>
      </c>
      <c r="N46" s="172">
        <v>6</v>
      </c>
      <c r="O46" s="172"/>
      <c r="P46" s="166"/>
      <c r="Q46" s="166"/>
      <c r="R46" s="171" t="s">
        <v>4</v>
      </c>
      <c r="S46" s="31">
        <v>97.237849999999995</v>
      </c>
      <c r="T46" s="23">
        <f t="shared" si="2"/>
        <v>73.469200000000001</v>
      </c>
      <c r="U46" s="23">
        <v>73.469200000000001</v>
      </c>
      <c r="V46" s="23"/>
      <c r="W46" s="23">
        <f t="shared" si="3"/>
        <v>381.91223000000002</v>
      </c>
      <c r="X46" s="23">
        <v>381.91223000000002</v>
      </c>
      <c r="Y46" s="23"/>
      <c r="Z46" s="28">
        <f t="shared" si="4"/>
        <v>308.44303000000002</v>
      </c>
      <c r="AA46" s="31">
        <f t="shared" si="0"/>
        <v>308.44303000000002</v>
      </c>
      <c r="AB46" s="28">
        <f t="shared" si="0"/>
        <v>0</v>
      </c>
      <c r="AC46" s="5">
        <f t="shared" si="1"/>
        <v>528.83376999999996</v>
      </c>
      <c r="AE46" s="5"/>
      <c r="AG46" s="5">
        <f t="shared" si="5"/>
        <v>-308.44303000000002</v>
      </c>
      <c r="AH46" s="9">
        <f>[1]TDSheet!$J$2734+[1]TDSheet!$J$2806</f>
        <v>746.78</v>
      </c>
      <c r="AI46" s="5">
        <f t="shared" si="6"/>
        <v>-163.96600000000001</v>
      </c>
    </row>
    <row r="47" spans="1:35" ht="31.5">
      <c r="A47" s="134">
        <v>25</v>
      </c>
      <c r="B47" s="172" t="s">
        <v>162</v>
      </c>
      <c r="C47" s="146">
        <v>9438000</v>
      </c>
      <c r="D47" s="135" t="s">
        <v>33</v>
      </c>
      <c r="E47" s="172" t="s">
        <v>171</v>
      </c>
      <c r="F47" s="172">
        <v>876</v>
      </c>
      <c r="G47" s="172" t="s">
        <v>294</v>
      </c>
      <c r="H47" s="172">
        <v>1</v>
      </c>
      <c r="I47" s="144" t="s">
        <v>274</v>
      </c>
      <c r="J47" s="172" t="s">
        <v>161</v>
      </c>
      <c r="K47" s="145">
        <f>4553.73*0.3</f>
        <v>1366.1189999999999</v>
      </c>
      <c r="L47" s="14" t="s">
        <v>258</v>
      </c>
      <c r="M47" s="14">
        <v>2013</v>
      </c>
      <c r="N47" s="172">
        <v>6</v>
      </c>
      <c r="O47" s="172"/>
      <c r="P47" s="166"/>
      <c r="Q47" s="166"/>
      <c r="R47" s="171" t="s">
        <v>4</v>
      </c>
      <c r="S47" s="31"/>
      <c r="T47" s="23">
        <f t="shared" si="2"/>
        <v>0</v>
      </c>
      <c r="U47" s="23"/>
      <c r="V47" s="23"/>
      <c r="W47" s="23">
        <f t="shared" si="3"/>
        <v>0</v>
      </c>
      <c r="X47" s="23"/>
      <c r="Y47" s="23"/>
      <c r="Z47" s="28">
        <f t="shared" si="4"/>
        <v>0</v>
      </c>
      <c r="AA47" s="31">
        <f t="shared" si="0"/>
        <v>0</v>
      </c>
      <c r="AB47" s="28">
        <f t="shared" si="0"/>
        <v>0</v>
      </c>
      <c r="AC47" s="5">
        <f t="shared" si="1"/>
        <v>1366.1189999999999</v>
      </c>
      <c r="AE47" s="5">
        <f t="shared" ref="AE47:AE54" si="7">K47-AC47</f>
        <v>0</v>
      </c>
      <c r="AG47" s="5">
        <f t="shared" si="5"/>
        <v>0</v>
      </c>
      <c r="AH47" s="9"/>
      <c r="AI47" s="5">
        <f t="shared" si="6"/>
        <v>-1366.1189999999999</v>
      </c>
    </row>
    <row r="48" spans="1:35" ht="31.5">
      <c r="A48" s="134">
        <v>26</v>
      </c>
      <c r="B48" s="172" t="s">
        <v>162</v>
      </c>
      <c r="C48" s="106">
        <v>4540020</v>
      </c>
      <c r="D48" s="135" t="s">
        <v>34</v>
      </c>
      <c r="E48" s="172" t="s">
        <v>171</v>
      </c>
      <c r="F48" s="172">
        <v>876</v>
      </c>
      <c r="G48" s="172" t="s">
        <v>294</v>
      </c>
      <c r="H48" s="172">
        <v>1</v>
      </c>
      <c r="I48" s="144" t="s">
        <v>274</v>
      </c>
      <c r="J48" s="172" t="s">
        <v>161</v>
      </c>
      <c r="K48" s="145">
        <v>2200</v>
      </c>
      <c r="L48" s="14" t="s">
        <v>258</v>
      </c>
      <c r="M48" s="14">
        <v>2013</v>
      </c>
      <c r="N48" s="172">
        <v>3</v>
      </c>
      <c r="O48" s="172"/>
      <c r="P48" s="166"/>
      <c r="Q48" s="166"/>
      <c r="R48" s="171" t="s">
        <v>4</v>
      </c>
      <c r="S48" s="31"/>
      <c r="T48" s="23">
        <f t="shared" si="2"/>
        <v>0</v>
      </c>
      <c r="U48" s="23"/>
      <c r="V48" s="23"/>
      <c r="W48" s="23">
        <f t="shared" si="3"/>
        <v>0</v>
      </c>
      <c r="X48" s="23"/>
      <c r="Y48" s="23"/>
      <c r="Z48" s="28">
        <f t="shared" si="4"/>
        <v>0</v>
      </c>
      <c r="AA48" s="31">
        <f t="shared" si="0"/>
        <v>0</v>
      </c>
      <c r="AB48" s="28">
        <f t="shared" si="0"/>
        <v>0</v>
      </c>
      <c r="AC48" s="5">
        <f t="shared" si="1"/>
        <v>2200</v>
      </c>
      <c r="AE48" s="5">
        <f t="shared" si="7"/>
        <v>0</v>
      </c>
      <c r="AG48" s="5">
        <f t="shared" si="5"/>
        <v>0</v>
      </c>
      <c r="AH48" s="9">
        <f>[1]TDSheet!$J$2838+[1]TDSheet!$J$2841</f>
        <v>280.97000000000003</v>
      </c>
      <c r="AI48" s="5">
        <f t="shared" si="6"/>
        <v>-1919.03</v>
      </c>
    </row>
    <row r="49" spans="1:35" ht="31.5">
      <c r="A49" s="134">
        <v>27</v>
      </c>
      <c r="B49" s="172" t="s">
        <v>162</v>
      </c>
      <c r="C49" s="146">
        <v>5000000</v>
      </c>
      <c r="D49" s="135" t="s">
        <v>9</v>
      </c>
      <c r="E49" s="172" t="s">
        <v>169</v>
      </c>
      <c r="F49" s="172">
        <v>876</v>
      </c>
      <c r="G49" s="172" t="s">
        <v>294</v>
      </c>
      <c r="H49" s="172">
        <v>1</v>
      </c>
      <c r="I49" s="144" t="s">
        <v>274</v>
      </c>
      <c r="J49" s="172" t="s">
        <v>161</v>
      </c>
      <c r="K49" s="145">
        <v>10</v>
      </c>
      <c r="L49" s="14" t="s">
        <v>258</v>
      </c>
      <c r="M49" s="14">
        <v>2013</v>
      </c>
      <c r="N49" s="172">
        <v>6</v>
      </c>
      <c r="O49" s="172"/>
      <c r="P49" s="166"/>
      <c r="Q49" s="166"/>
      <c r="R49" s="171" t="s">
        <v>4</v>
      </c>
      <c r="S49" s="31"/>
      <c r="T49" s="23">
        <f t="shared" si="2"/>
        <v>0</v>
      </c>
      <c r="U49" s="23"/>
      <c r="V49" s="23"/>
      <c r="W49" s="23">
        <f t="shared" si="3"/>
        <v>0</v>
      </c>
      <c r="X49" s="23"/>
      <c r="Y49" s="23"/>
      <c r="Z49" s="28">
        <f t="shared" si="4"/>
        <v>0</v>
      </c>
      <c r="AA49" s="31">
        <f t="shared" si="0"/>
        <v>0</v>
      </c>
      <c r="AB49" s="28">
        <f t="shared" si="0"/>
        <v>0</v>
      </c>
      <c r="AC49" s="5">
        <f t="shared" si="1"/>
        <v>10</v>
      </c>
      <c r="AE49" s="5">
        <f t="shared" si="7"/>
        <v>0</v>
      </c>
      <c r="AG49" s="5">
        <f t="shared" si="5"/>
        <v>0</v>
      </c>
      <c r="AH49" s="9"/>
      <c r="AI49" s="5">
        <f t="shared" si="6"/>
        <v>-10</v>
      </c>
    </row>
    <row r="50" spans="1:35" ht="31.5">
      <c r="A50" s="134">
        <v>28</v>
      </c>
      <c r="B50" s="172" t="s">
        <v>162</v>
      </c>
      <c r="C50" s="146">
        <v>5000000</v>
      </c>
      <c r="D50" s="135" t="s">
        <v>71</v>
      </c>
      <c r="E50" s="172" t="s">
        <v>169</v>
      </c>
      <c r="F50" s="172">
        <v>876</v>
      </c>
      <c r="G50" s="172" t="s">
        <v>294</v>
      </c>
      <c r="H50" s="172">
        <v>1</v>
      </c>
      <c r="I50" s="144" t="s">
        <v>274</v>
      </c>
      <c r="J50" s="172" t="s">
        <v>161</v>
      </c>
      <c r="K50" s="145">
        <v>20</v>
      </c>
      <c r="L50" s="14" t="s">
        <v>258</v>
      </c>
      <c r="M50" s="14">
        <v>2013</v>
      </c>
      <c r="N50" s="172">
        <v>6</v>
      </c>
      <c r="O50" s="172"/>
      <c r="P50" s="166"/>
      <c r="Q50" s="166"/>
      <c r="R50" s="171" t="s">
        <v>4</v>
      </c>
      <c r="S50" s="31"/>
      <c r="T50" s="23">
        <f t="shared" si="2"/>
        <v>0</v>
      </c>
      <c r="U50" s="23"/>
      <c r="V50" s="23"/>
      <c r="W50" s="23">
        <f t="shared" si="3"/>
        <v>0</v>
      </c>
      <c r="X50" s="23"/>
      <c r="Y50" s="23"/>
      <c r="Z50" s="28">
        <f t="shared" si="4"/>
        <v>0</v>
      </c>
      <c r="AA50" s="31">
        <f t="shared" si="0"/>
        <v>0</v>
      </c>
      <c r="AB50" s="28">
        <f t="shared" si="0"/>
        <v>0</v>
      </c>
      <c r="AC50" s="5">
        <f t="shared" si="1"/>
        <v>20</v>
      </c>
      <c r="AE50" s="5">
        <f t="shared" si="7"/>
        <v>0</v>
      </c>
      <c r="AG50" s="5">
        <f t="shared" si="5"/>
        <v>0</v>
      </c>
      <c r="AH50" s="9"/>
      <c r="AI50" s="5">
        <f t="shared" si="6"/>
        <v>-20</v>
      </c>
    </row>
    <row r="51" spans="1:35" ht="31.5">
      <c r="A51" s="134">
        <v>29</v>
      </c>
      <c r="B51" s="172" t="s">
        <v>162</v>
      </c>
      <c r="C51" s="146">
        <v>5000000</v>
      </c>
      <c r="D51" s="135" t="s">
        <v>84</v>
      </c>
      <c r="E51" s="172" t="s">
        <v>169</v>
      </c>
      <c r="F51" s="172">
        <v>876</v>
      </c>
      <c r="G51" s="172" t="s">
        <v>294</v>
      </c>
      <c r="H51" s="172">
        <v>1</v>
      </c>
      <c r="I51" s="144" t="s">
        <v>274</v>
      </c>
      <c r="J51" s="172" t="s">
        <v>161</v>
      </c>
      <c r="K51" s="145">
        <v>30</v>
      </c>
      <c r="L51" s="14" t="s">
        <v>258</v>
      </c>
      <c r="M51" s="14">
        <v>2013</v>
      </c>
      <c r="N51" s="172">
        <v>6</v>
      </c>
      <c r="O51" s="172"/>
      <c r="P51" s="166"/>
      <c r="Q51" s="166"/>
      <c r="R51" s="171" t="s">
        <v>4</v>
      </c>
      <c r="S51" s="31"/>
      <c r="T51" s="23">
        <f t="shared" si="2"/>
        <v>0</v>
      </c>
      <c r="U51" s="23"/>
      <c r="V51" s="23"/>
      <c r="W51" s="23">
        <f t="shared" si="3"/>
        <v>0</v>
      </c>
      <c r="X51" s="23"/>
      <c r="Y51" s="23"/>
      <c r="Z51" s="28">
        <f t="shared" si="4"/>
        <v>0</v>
      </c>
      <c r="AA51" s="31">
        <f t="shared" si="0"/>
        <v>0</v>
      </c>
      <c r="AB51" s="28">
        <f t="shared" si="0"/>
        <v>0</v>
      </c>
      <c r="AC51" s="5">
        <f t="shared" si="1"/>
        <v>30</v>
      </c>
      <c r="AE51" s="5">
        <f t="shared" si="7"/>
        <v>0</v>
      </c>
      <c r="AG51" s="5">
        <f t="shared" si="5"/>
        <v>0</v>
      </c>
      <c r="AH51" s="9"/>
      <c r="AI51" s="5">
        <f t="shared" si="6"/>
        <v>-30</v>
      </c>
    </row>
    <row r="52" spans="1:35" ht="31.5">
      <c r="A52" s="134">
        <v>30</v>
      </c>
      <c r="B52" s="172" t="s">
        <v>162</v>
      </c>
      <c r="C52" s="146">
        <v>5000000</v>
      </c>
      <c r="D52" s="135" t="s">
        <v>35</v>
      </c>
      <c r="E52" s="172" t="s">
        <v>169</v>
      </c>
      <c r="F52" s="172">
        <v>876</v>
      </c>
      <c r="G52" s="172" t="s">
        <v>294</v>
      </c>
      <c r="H52" s="172">
        <v>1</v>
      </c>
      <c r="I52" s="144" t="s">
        <v>274</v>
      </c>
      <c r="J52" s="172" t="s">
        <v>161</v>
      </c>
      <c r="K52" s="145">
        <v>10</v>
      </c>
      <c r="L52" s="14" t="s">
        <v>258</v>
      </c>
      <c r="M52" s="14">
        <v>2013</v>
      </c>
      <c r="N52" s="172">
        <v>6</v>
      </c>
      <c r="O52" s="172"/>
      <c r="P52" s="166"/>
      <c r="Q52" s="166"/>
      <c r="R52" s="171" t="s">
        <v>4</v>
      </c>
      <c r="S52" s="31"/>
      <c r="T52" s="23">
        <f t="shared" si="2"/>
        <v>0</v>
      </c>
      <c r="U52" s="23"/>
      <c r="V52" s="23"/>
      <c r="W52" s="23">
        <f t="shared" si="3"/>
        <v>0</v>
      </c>
      <c r="X52" s="23"/>
      <c r="Y52" s="23"/>
      <c r="Z52" s="28">
        <f t="shared" si="4"/>
        <v>0</v>
      </c>
      <c r="AA52" s="31">
        <f t="shared" si="0"/>
        <v>0</v>
      </c>
      <c r="AB52" s="28">
        <f t="shared" si="0"/>
        <v>0</v>
      </c>
      <c r="AC52" s="5">
        <f t="shared" si="1"/>
        <v>10</v>
      </c>
      <c r="AE52" s="5">
        <f t="shared" si="7"/>
        <v>0</v>
      </c>
      <c r="AG52" s="5">
        <f t="shared" si="5"/>
        <v>0</v>
      </c>
      <c r="AH52" s="9"/>
      <c r="AI52" s="5">
        <f t="shared" si="6"/>
        <v>-10</v>
      </c>
    </row>
    <row r="53" spans="1:35" ht="31.5">
      <c r="A53" s="134">
        <v>31</v>
      </c>
      <c r="B53" s="172" t="s">
        <v>162</v>
      </c>
      <c r="C53" s="106">
        <v>5020020</v>
      </c>
      <c r="D53" s="135" t="s">
        <v>36</v>
      </c>
      <c r="E53" s="172" t="s">
        <v>169</v>
      </c>
      <c r="F53" s="172">
        <v>876</v>
      </c>
      <c r="G53" s="172" t="s">
        <v>294</v>
      </c>
      <c r="H53" s="172">
        <v>1</v>
      </c>
      <c r="I53" s="144" t="s">
        <v>274</v>
      </c>
      <c r="J53" s="172" t="s">
        <v>161</v>
      </c>
      <c r="K53" s="145">
        <f>(550*120*2)/1000</f>
        <v>132</v>
      </c>
      <c r="L53" s="14" t="s">
        <v>258</v>
      </c>
      <c r="M53" s="14">
        <v>2013</v>
      </c>
      <c r="N53" s="172">
        <v>6</v>
      </c>
      <c r="O53" s="172"/>
      <c r="P53" s="166"/>
      <c r="Q53" s="166"/>
      <c r="R53" s="171" t="s">
        <v>4</v>
      </c>
      <c r="S53" s="31"/>
      <c r="T53" s="23">
        <f t="shared" si="2"/>
        <v>0</v>
      </c>
      <c r="U53" s="23"/>
      <c r="V53" s="23"/>
      <c r="W53" s="23">
        <f t="shared" si="3"/>
        <v>0</v>
      </c>
      <c r="X53" s="23"/>
      <c r="Y53" s="23"/>
      <c r="Z53" s="28">
        <f t="shared" si="4"/>
        <v>0</v>
      </c>
      <c r="AA53" s="31">
        <f t="shared" si="0"/>
        <v>0</v>
      </c>
      <c r="AB53" s="28">
        <f t="shared" si="0"/>
        <v>0</v>
      </c>
      <c r="AC53" s="5">
        <f t="shared" si="1"/>
        <v>132</v>
      </c>
      <c r="AE53" s="5">
        <f t="shared" si="7"/>
        <v>0</v>
      </c>
      <c r="AG53" s="5">
        <f t="shared" si="5"/>
        <v>0</v>
      </c>
      <c r="AH53" s="9"/>
      <c r="AI53" s="5">
        <f t="shared" si="6"/>
        <v>-132</v>
      </c>
    </row>
    <row r="54" spans="1:35" ht="31.5">
      <c r="A54" s="134">
        <v>32</v>
      </c>
      <c r="B54" s="172" t="s">
        <v>162</v>
      </c>
      <c r="C54" s="146">
        <v>5235020</v>
      </c>
      <c r="D54" s="135" t="s">
        <v>37</v>
      </c>
      <c r="E54" s="172" t="s">
        <v>169</v>
      </c>
      <c r="F54" s="172">
        <v>876</v>
      </c>
      <c r="G54" s="172" t="s">
        <v>294</v>
      </c>
      <c r="H54" s="172">
        <v>1</v>
      </c>
      <c r="I54" s="144" t="s">
        <v>274</v>
      </c>
      <c r="J54" s="172" t="s">
        <v>161</v>
      </c>
      <c r="K54" s="145">
        <v>10</v>
      </c>
      <c r="L54" s="14" t="s">
        <v>258</v>
      </c>
      <c r="M54" s="14">
        <v>2013</v>
      </c>
      <c r="N54" s="172">
        <v>6</v>
      </c>
      <c r="O54" s="172"/>
      <c r="P54" s="166"/>
      <c r="Q54" s="166"/>
      <c r="R54" s="171" t="s">
        <v>4</v>
      </c>
      <c r="S54" s="31"/>
      <c r="T54" s="23">
        <f t="shared" si="2"/>
        <v>0</v>
      </c>
      <c r="U54" s="23"/>
      <c r="V54" s="23"/>
      <c r="W54" s="23">
        <f t="shared" si="3"/>
        <v>0</v>
      </c>
      <c r="X54" s="23"/>
      <c r="Y54" s="23"/>
      <c r="Z54" s="28">
        <f t="shared" si="4"/>
        <v>0</v>
      </c>
      <c r="AA54" s="31">
        <f t="shared" si="0"/>
        <v>0</v>
      </c>
      <c r="AB54" s="28">
        <f t="shared" si="0"/>
        <v>0</v>
      </c>
      <c r="AC54" s="5">
        <f t="shared" si="1"/>
        <v>10</v>
      </c>
      <c r="AE54" s="5">
        <f t="shared" si="7"/>
        <v>0</v>
      </c>
      <c r="AG54" s="5">
        <f t="shared" si="5"/>
        <v>0</v>
      </c>
      <c r="AH54" s="9"/>
      <c r="AI54" s="5">
        <f t="shared" si="6"/>
        <v>-10</v>
      </c>
    </row>
    <row r="55" spans="1:35" ht="15.75">
      <c r="A55" s="134">
        <v>33</v>
      </c>
      <c r="B55" s="172" t="s">
        <v>162</v>
      </c>
      <c r="C55" s="106">
        <v>8040000</v>
      </c>
      <c r="D55" s="135" t="s">
        <v>172</v>
      </c>
      <c r="E55" s="172"/>
      <c r="F55" s="172">
        <v>876</v>
      </c>
      <c r="G55" s="172" t="s">
        <v>294</v>
      </c>
      <c r="H55" s="172">
        <v>1</v>
      </c>
      <c r="I55" s="144" t="s">
        <v>274</v>
      </c>
      <c r="J55" s="172" t="s">
        <v>161</v>
      </c>
      <c r="K55" s="145">
        <v>13900</v>
      </c>
      <c r="L55" s="14" t="s">
        <v>258</v>
      </c>
      <c r="M55" s="14">
        <v>2013</v>
      </c>
      <c r="N55" s="172">
        <v>6</v>
      </c>
      <c r="O55" s="172"/>
      <c r="P55" s="166"/>
      <c r="Q55" s="166"/>
      <c r="R55" s="171" t="s">
        <v>4</v>
      </c>
      <c r="S55" s="31"/>
      <c r="T55" s="23">
        <f t="shared" si="2"/>
        <v>153.28</v>
      </c>
      <c r="U55" s="23">
        <v>153.28</v>
      </c>
      <c r="V55" s="23"/>
      <c r="W55" s="23">
        <f t="shared" si="3"/>
        <v>3482.6170000000002</v>
      </c>
      <c r="X55" s="23">
        <f>3482.617</f>
        <v>3482.6170000000002</v>
      </c>
      <c r="Y55" s="23"/>
      <c r="Z55" s="28">
        <f t="shared" si="4"/>
        <v>3329.337</v>
      </c>
      <c r="AA55" s="31">
        <f t="shared" ref="AA55:AB86" si="8">X55-U55</f>
        <v>3329.337</v>
      </c>
      <c r="AB55" s="28">
        <f t="shared" si="8"/>
        <v>0</v>
      </c>
      <c r="AC55" s="5">
        <f t="shared" si="1"/>
        <v>10417.383</v>
      </c>
      <c r="AE55" s="5"/>
      <c r="AG55" s="5">
        <f t="shared" si="5"/>
        <v>-3329.337</v>
      </c>
      <c r="AH55" s="9">
        <f>[1]TDSheet!$J$2218</f>
        <v>8195.66</v>
      </c>
      <c r="AI55" s="5">
        <f t="shared" si="6"/>
        <v>-5704.34</v>
      </c>
    </row>
    <row r="56" spans="1:35" ht="15.75">
      <c r="A56" s="134">
        <v>34</v>
      </c>
      <c r="B56" s="172" t="s">
        <v>162</v>
      </c>
      <c r="C56" s="106">
        <v>7423000</v>
      </c>
      <c r="D56" s="158" t="s">
        <v>7</v>
      </c>
      <c r="E56" s="172" t="s">
        <v>173</v>
      </c>
      <c r="F56" s="172">
        <v>876</v>
      </c>
      <c r="G56" s="172" t="s">
        <v>294</v>
      </c>
      <c r="H56" s="172">
        <v>1</v>
      </c>
      <c r="I56" s="144" t="s">
        <v>274</v>
      </c>
      <c r="J56" s="172" t="s">
        <v>161</v>
      </c>
      <c r="K56" s="145">
        <f>60*1.2</f>
        <v>72</v>
      </c>
      <c r="L56" s="14" t="s">
        <v>258</v>
      </c>
      <c r="M56" s="14">
        <v>2013</v>
      </c>
      <c r="N56" s="172">
        <v>3</v>
      </c>
      <c r="O56" s="172"/>
      <c r="P56" s="166"/>
      <c r="Q56" s="166"/>
      <c r="R56" s="171" t="s">
        <v>4</v>
      </c>
      <c r="S56" s="31"/>
      <c r="T56" s="23">
        <f t="shared" si="2"/>
        <v>0</v>
      </c>
      <c r="U56" s="23"/>
      <c r="V56" s="23"/>
      <c r="W56" s="23">
        <f t="shared" si="3"/>
        <v>0</v>
      </c>
      <c r="X56" s="23"/>
      <c r="Y56" s="23"/>
      <c r="Z56" s="28">
        <f t="shared" si="4"/>
        <v>0</v>
      </c>
      <c r="AA56" s="31">
        <f t="shared" si="8"/>
        <v>0</v>
      </c>
      <c r="AB56" s="28">
        <f t="shared" si="8"/>
        <v>0</v>
      </c>
      <c r="AC56" s="5">
        <f t="shared" si="1"/>
        <v>72</v>
      </c>
      <c r="AE56" s="5">
        <f>K56-AC56</f>
        <v>0</v>
      </c>
      <c r="AG56" s="5">
        <f t="shared" si="5"/>
        <v>0</v>
      </c>
      <c r="AH56" s="9"/>
      <c r="AI56" s="5">
        <f t="shared" si="6"/>
        <v>-72</v>
      </c>
    </row>
    <row r="57" spans="1:35" ht="31.5">
      <c r="A57" s="134">
        <v>35</v>
      </c>
      <c r="B57" s="172" t="s">
        <v>162</v>
      </c>
      <c r="C57" s="106">
        <v>7210000</v>
      </c>
      <c r="D57" s="158" t="s">
        <v>72</v>
      </c>
      <c r="E57" s="172" t="s">
        <v>174</v>
      </c>
      <c r="F57" s="172">
        <v>876</v>
      </c>
      <c r="G57" s="172" t="s">
        <v>294</v>
      </c>
      <c r="H57" s="172">
        <v>1</v>
      </c>
      <c r="I57" s="144" t="s">
        <v>274</v>
      </c>
      <c r="J57" s="172" t="s">
        <v>161</v>
      </c>
      <c r="K57" s="145">
        <v>200</v>
      </c>
      <c r="L57" s="14" t="s">
        <v>258</v>
      </c>
      <c r="M57" s="14">
        <v>2013</v>
      </c>
      <c r="N57" s="172">
        <v>6</v>
      </c>
      <c r="O57" s="172"/>
      <c r="P57" s="166"/>
      <c r="Q57" s="166"/>
      <c r="R57" s="171" t="s">
        <v>4</v>
      </c>
      <c r="S57" s="31"/>
      <c r="T57" s="23">
        <f t="shared" si="2"/>
        <v>0</v>
      </c>
      <c r="U57" s="23"/>
      <c r="V57" s="23"/>
      <c r="W57" s="23">
        <f t="shared" si="3"/>
        <v>0</v>
      </c>
      <c r="X57" s="23"/>
      <c r="Y57" s="23"/>
      <c r="Z57" s="28">
        <f t="shared" si="4"/>
        <v>0</v>
      </c>
      <c r="AA57" s="31">
        <f t="shared" si="8"/>
        <v>0</v>
      </c>
      <c r="AB57" s="28">
        <f t="shared" si="8"/>
        <v>0</v>
      </c>
      <c r="AC57" s="5">
        <f t="shared" si="1"/>
        <v>200</v>
      </c>
      <c r="AE57" s="5">
        <f>K57-AC57</f>
        <v>0</v>
      </c>
      <c r="AG57" s="5">
        <f t="shared" si="5"/>
        <v>0</v>
      </c>
      <c r="AH57" s="9"/>
      <c r="AI57" s="5">
        <f t="shared" si="6"/>
        <v>-200</v>
      </c>
    </row>
    <row r="58" spans="1:35" ht="21.75" customHeight="1">
      <c r="A58" s="134">
        <v>36</v>
      </c>
      <c r="B58" s="172" t="s">
        <v>162</v>
      </c>
      <c r="C58" s="146">
        <v>6011010</v>
      </c>
      <c r="D58" s="158" t="s">
        <v>38</v>
      </c>
      <c r="E58" s="172"/>
      <c r="F58" s="172">
        <v>876</v>
      </c>
      <c r="G58" s="172" t="s">
        <v>294</v>
      </c>
      <c r="H58" s="172">
        <v>1</v>
      </c>
      <c r="I58" s="144" t="s">
        <v>274</v>
      </c>
      <c r="J58" s="172" t="s">
        <v>161</v>
      </c>
      <c r="K58" s="145">
        <v>1976</v>
      </c>
      <c r="L58" s="14" t="s">
        <v>258</v>
      </c>
      <c r="M58" s="14">
        <v>2013</v>
      </c>
      <c r="N58" s="172">
        <v>6</v>
      </c>
      <c r="O58" s="172"/>
      <c r="P58" s="166"/>
      <c r="Q58" s="166"/>
      <c r="R58" s="171" t="s">
        <v>4</v>
      </c>
      <c r="S58" s="31">
        <v>546.08249999999998</v>
      </c>
      <c r="T58" s="23">
        <f t="shared" si="2"/>
        <v>709.12220000000002</v>
      </c>
      <c r="U58" s="23">
        <v>517.4</v>
      </c>
      <c r="V58" s="23">
        <v>191.72219999999999</v>
      </c>
      <c r="W58" s="23">
        <f t="shared" si="3"/>
        <v>847.32669999999996</v>
      </c>
      <c r="X58" s="23">
        <v>592.79999999999995</v>
      </c>
      <c r="Y58" s="23">
        <v>254.52670000000001</v>
      </c>
      <c r="Z58" s="28">
        <f t="shared" si="4"/>
        <v>138.2045</v>
      </c>
      <c r="AA58" s="31">
        <f t="shared" si="8"/>
        <v>75.399999999999977</v>
      </c>
      <c r="AB58" s="28">
        <f t="shared" si="8"/>
        <v>62.804500000000019</v>
      </c>
      <c r="AC58" s="5">
        <f t="shared" si="1"/>
        <v>1383.2</v>
      </c>
      <c r="AE58" s="5"/>
      <c r="AG58" s="5">
        <f t="shared" si="5"/>
        <v>-75.399999999999977</v>
      </c>
      <c r="AH58" s="9"/>
      <c r="AI58" s="5">
        <f t="shared" si="6"/>
        <v>-1976</v>
      </c>
    </row>
    <row r="59" spans="1:35" ht="21" customHeight="1">
      <c r="A59" s="134">
        <v>37</v>
      </c>
      <c r="B59" s="172" t="s">
        <v>162</v>
      </c>
      <c r="C59" s="106">
        <v>5510000</v>
      </c>
      <c r="D59" s="158" t="s">
        <v>39</v>
      </c>
      <c r="E59" s="172"/>
      <c r="F59" s="172">
        <v>876</v>
      </c>
      <c r="G59" s="172" t="s">
        <v>294</v>
      </c>
      <c r="H59" s="172">
        <v>1</v>
      </c>
      <c r="I59" s="144" t="s">
        <v>274</v>
      </c>
      <c r="J59" s="172" t="s">
        <v>161</v>
      </c>
      <c r="K59" s="145">
        <f>2120+1150</f>
        <v>3270</v>
      </c>
      <c r="L59" s="14" t="s">
        <v>258</v>
      </c>
      <c r="M59" s="14">
        <v>2013</v>
      </c>
      <c r="N59" s="172">
        <v>6</v>
      </c>
      <c r="O59" s="172"/>
      <c r="P59" s="166"/>
      <c r="Q59" s="166"/>
      <c r="R59" s="171" t="s">
        <v>4</v>
      </c>
      <c r="S59" s="31">
        <v>590.78599999999994</v>
      </c>
      <c r="T59" s="23">
        <f t="shared" si="2"/>
        <v>569.46</v>
      </c>
      <c r="U59" s="23">
        <f>502.7+0</f>
        <v>502.7</v>
      </c>
      <c r="V59" s="23">
        <v>66.760000000000005</v>
      </c>
      <c r="W59" s="23">
        <f t="shared" si="3"/>
        <v>913.67099999999994</v>
      </c>
      <c r="X59" s="23">
        <f>707.788+33.473</f>
        <v>741.26099999999997</v>
      </c>
      <c r="Y59" s="23">
        <v>172.41</v>
      </c>
      <c r="Z59" s="28">
        <f t="shared" si="4"/>
        <v>344.21099999999996</v>
      </c>
      <c r="AA59" s="31">
        <f t="shared" si="8"/>
        <v>238.56099999999998</v>
      </c>
      <c r="AB59" s="28">
        <f t="shared" si="8"/>
        <v>105.64999999999999</v>
      </c>
      <c r="AC59" s="5">
        <f t="shared" si="1"/>
        <v>2528.739</v>
      </c>
      <c r="AE59" s="5"/>
      <c r="AG59" s="5">
        <f t="shared" si="5"/>
        <v>-238.56099999999998</v>
      </c>
      <c r="AH59" s="9">
        <f>[1]TDSheet!$J$2242+[1]TDSheet!$J$2422</f>
        <v>2735.8999999999996</v>
      </c>
      <c r="AI59" s="5">
        <f t="shared" si="6"/>
        <v>-534.10000000000036</v>
      </c>
    </row>
    <row r="60" spans="1:35" ht="48" customHeight="1">
      <c r="A60" s="134">
        <v>38</v>
      </c>
      <c r="B60" s="172" t="s">
        <v>162</v>
      </c>
      <c r="C60" s="146">
        <v>7523060</v>
      </c>
      <c r="D60" s="158" t="s">
        <v>40</v>
      </c>
      <c r="E60" s="172"/>
      <c r="F60" s="172">
        <v>876</v>
      </c>
      <c r="G60" s="172" t="s">
        <v>294</v>
      </c>
      <c r="H60" s="172">
        <v>1</v>
      </c>
      <c r="I60" s="144" t="s">
        <v>274</v>
      </c>
      <c r="J60" s="172" t="s">
        <v>161</v>
      </c>
      <c r="K60" s="145">
        <f>6847.88-2000</f>
        <v>4847.88</v>
      </c>
      <c r="L60" s="14" t="s">
        <v>258</v>
      </c>
      <c r="M60" s="14">
        <v>2013</v>
      </c>
      <c r="N60" s="172">
        <v>6</v>
      </c>
      <c r="O60" s="172"/>
      <c r="P60" s="166"/>
      <c r="Q60" s="166"/>
      <c r="R60" s="171" t="s">
        <v>4</v>
      </c>
      <c r="S60" s="31"/>
      <c r="T60" s="23">
        <f t="shared" si="2"/>
        <v>0</v>
      </c>
      <c r="U60" s="23"/>
      <c r="V60" s="23"/>
      <c r="W60" s="23">
        <f t="shared" si="3"/>
        <v>0</v>
      </c>
      <c r="X60" s="23"/>
      <c r="Y60" s="23"/>
      <c r="Z60" s="28">
        <f t="shared" si="4"/>
        <v>0</v>
      </c>
      <c r="AA60" s="31">
        <f t="shared" si="8"/>
        <v>0</v>
      </c>
      <c r="AB60" s="28">
        <f t="shared" si="8"/>
        <v>0</v>
      </c>
      <c r="AC60" s="5">
        <f t="shared" si="1"/>
        <v>4847.88</v>
      </c>
      <c r="AE60" s="5">
        <f>K60-AC60</f>
        <v>0</v>
      </c>
      <c r="AG60" s="5">
        <f t="shared" si="5"/>
        <v>0</v>
      </c>
      <c r="AH60" s="9"/>
      <c r="AI60" s="5">
        <f t="shared" si="6"/>
        <v>-4847.88</v>
      </c>
    </row>
    <row r="61" spans="1:35" ht="15.75">
      <c r="A61" s="134">
        <v>39</v>
      </c>
      <c r="B61" s="172" t="s">
        <v>162</v>
      </c>
      <c r="C61" s="106">
        <v>9231020</v>
      </c>
      <c r="D61" s="158" t="s">
        <v>8</v>
      </c>
      <c r="E61" s="148"/>
      <c r="F61" s="148">
        <v>876</v>
      </c>
      <c r="G61" s="172" t="s">
        <v>294</v>
      </c>
      <c r="H61" s="172">
        <v>1</v>
      </c>
      <c r="I61" s="144" t="s">
        <v>274</v>
      </c>
      <c r="J61" s="148" t="s">
        <v>161</v>
      </c>
      <c r="K61" s="145">
        <f>5000*100/1000</f>
        <v>500</v>
      </c>
      <c r="L61" s="136" t="s">
        <v>258</v>
      </c>
      <c r="M61" s="136">
        <v>2013</v>
      </c>
      <c r="N61" s="172">
        <v>6</v>
      </c>
      <c r="O61" s="172"/>
      <c r="P61" s="166"/>
      <c r="Q61" s="166"/>
      <c r="R61" s="171" t="s">
        <v>4</v>
      </c>
      <c r="S61" s="31"/>
      <c r="T61" s="23">
        <f t="shared" si="2"/>
        <v>0</v>
      </c>
      <c r="U61" s="23"/>
      <c r="V61" s="23"/>
      <c r="W61" s="23">
        <f t="shared" si="3"/>
        <v>0</v>
      </c>
      <c r="X61" s="23"/>
      <c r="Y61" s="23"/>
      <c r="Z61" s="28">
        <f t="shared" si="4"/>
        <v>0</v>
      </c>
      <c r="AA61" s="31">
        <f t="shared" si="8"/>
        <v>0</v>
      </c>
      <c r="AB61" s="28">
        <f t="shared" si="8"/>
        <v>0</v>
      </c>
      <c r="AC61" s="5">
        <f t="shared" si="1"/>
        <v>500</v>
      </c>
      <c r="AE61" s="5">
        <f>K61-AC61</f>
        <v>0</v>
      </c>
      <c r="AG61" s="5">
        <f t="shared" si="5"/>
        <v>0</v>
      </c>
      <c r="AH61" s="9"/>
      <c r="AI61" s="5">
        <f t="shared" si="6"/>
        <v>-500</v>
      </c>
    </row>
    <row r="62" spans="1:35" ht="47.25">
      <c r="A62" s="134">
        <v>40</v>
      </c>
      <c r="B62" s="172" t="s">
        <v>162</v>
      </c>
      <c r="C62" s="106">
        <v>7260016</v>
      </c>
      <c r="D62" s="158" t="s">
        <v>85</v>
      </c>
      <c r="E62" s="172" t="s">
        <v>179</v>
      </c>
      <c r="F62" s="172">
        <v>876</v>
      </c>
      <c r="G62" s="172" t="s">
        <v>294</v>
      </c>
      <c r="H62" s="172">
        <v>1</v>
      </c>
      <c r="I62" s="144" t="s">
        <v>274</v>
      </c>
      <c r="J62" s="172" t="s">
        <v>161</v>
      </c>
      <c r="K62" s="145">
        <f>938.09*0.5</f>
        <v>469.04500000000002</v>
      </c>
      <c r="L62" s="172" t="s">
        <v>258</v>
      </c>
      <c r="M62" s="172">
        <v>2013</v>
      </c>
      <c r="N62" s="172">
        <v>6</v>
      </c>
      <c r="O62" s="172"/>
      <c r="P62" s="166"/>
      <c r="Q62" s="166"/>
      <c r="R62" s="171" t="s">
        <v>6</v>
      </c>
      <c r="S62" s="31">
        <f>152.741</f>
        <v>152.74100000000001</v>
      </c>
      <c r="T62" s="23">
        <f t="shared" si="2"/>
        <v>165.20099999999999</v>
      </c>
      <c r="U62" s="23">
        <v>165.20099999999999</v>
      </c>
      <c r="V62" s="23"/>
      <c r="W62" s="23">
        <f t="shared" si="3"/>
        <v>233.381</v>
      </c>
      <c r="X62" s="23">
        <v>233.381</v>
      </c>
      <c r="Y62" s="23"/>
      <c r="Z62" s="28">
        <f t="shared" si="4"/>
        <v>68.180000000000007</v>
      </c>
      <c r="AA62" s="31">
        <f t="shared" si="8"/>
        <v>68.180000000000007</v>
      </c>
      <c r="AB62" s="28">
        <f t="shared" si="8"/>
        <v>0</v>
      </c>
      <c r="AC62" s="5">
        <f t="shared" si="1"/>
        <v>235.66400000000002</v>
      </c>
      <c r="AE62" s="5"/>
      <c r="AG62" s="5">
        <f t="shared" si="5"/>
        <v>-68.180000000000007</v>
      </c>
      <c r="AH62" s="9"/>
      <c r="AI62" s="5">
        <f t="shared" si="6"/>
        <v>-469.04500000000002</v>
      </c>
    </row>
    <row r="63" spans="1:35" ht="47.25">
      <c r="A63" s="134">
        <v>41</v>
      </c>
      <c r="B63" s="172" t="s">
        <v>162</v>
      </c>
      <c r="C63" s="106">
        <v>7260000</v>
      </c>
      <c r="D63" s="158" t="s">
        <v>86</v>
      </c>
      <c r="E63" s="172" t="s">
        <v>179</v>
      </c>
      <c r="F63" s="172">
        <v>876</v>
      </c>
      <c r="G63" s="172" t="s">
        <v>294</v>
      </c>
      <c r="H63" s="172">
        <v>1</v>
      </c>
      <c r="I63" s="144" t="s">
        <v>274</v>
      </c>
      <c r="J63" s="172" t="s">
        <v>161</v>
      </c>
      <c r="K63" s="145">
        <f>938.09*0.5</f>
        <v>469.04500000000002</v>
      </c>
      <c r="L63" s="172" t="s">
        <v>258</v>
      </c>
      <c r="M63" s="172">
        <v>2013</v>
      </c>
      <c r="N63" s="172">
        <v>6</v>
      </c>
      <c r="O63" s="172"/>
      <c r="P63" s="166"/>
      <c r="Q63" s="166"/>
      <c r="R63" s="171" t="s">
        <v>6</v>
      </c>
      <c r="S63" s="80">
        <f>1+18</f>
        <v>19</v>
      </c>
      <c r="T63" s="26">
        <f t="shared" si="2"/>
        <v>0</v>
      </c>
      <c r="U63" s="26"/>
      <c r="V63" s="26"/>
      <c r="W63" s="26">
        <f t="shared" si="3"/>
        <v>0</v>
      </c>
      <c r="X63" s="26"/>
      <c r="Y63" s="26"/>
      <c r="Z63" s="28">
        <f t="shared" si="4"/>
        <v>0</v>
      </c>
      <c r="AA63" s="31">
        <f t="shared" si="8"/>
        <v>0</v>
      </c>
      <c r="AB63" s="28">
        <f t="shared" si="8"/>
        <v>0</v>
      </c>
      <c r="AC63" s="5">
        <f t="shared" si="1"/>
        <v>469.04500000000002</v>
      </c>
      <c r="AE63" s="5">
        <f>K63-AC63</f>
        <v>0</v>
      </c>
      <c r="AG63" s="5">
        <f t="shared" si="5"/>
        <v>0</v>
      </c>
      <c r="AH63" s="9"/>
      <c r="AI63" s="5">
        <f t="shared" si="6"/>
        <v>-469.04500000000002</v>
      </c>
    </row>
    <row r="64" spans="1:35" ht="15.75">
      <c r="A64" s="134">
        <v>42</v>
      </c>
      <c r="B64" s="172" t="s">
        <v>162</v>
      </c>
      <c r="C64" s="106">
        <v>9311010</v>
      </c>
      <c r="D64" s="158" t="s">
        <v>41</v>
      </c>
      <c r="E64" s="172" t="s">
        <v>180</v>
      </c>
      <c r="F64" s="172">
        <v>876</v>
      </c>
      <c r="G64" s="172" t="s">
        <v>294</v>
      </c>
      <c r="H64" s="172">
        <v>1</v>
      </c>
      <c r="I64" s="144" t="s">
        <v>274</v>
      </c>
      <c r="J64" s="172" t="s">
        <v>161</v>
      </c>
      <c r="K64" s="145">
        <v>32.450000000000003</v>
      </c>
      <c r="L64" s="14" t="s">
        <v>258</v>
      </c>
      <c r="M64" s="14">
        <v>2013</v>
      </c>
      <c r="N64" s="172">
        <v>6</v>
      </c>
      <c r="O64" s="172"/>
      <c r="P64" s="166"/>
      <c r="Q64" s="166"/>
      <c r="R64" s="171" t="s">
        <v>4</v>
      </c>
      <c r="S64" s="31">
        <v>0</v>
      </c>
      <c r="T64" s="23">
        <f t="shared" si="2"/>
        <v>0</v>
      </c>
      <c r="U64" s="23">
        <v>0</v>
      </c>
      <c r="V64" s="23"/>
      <c r="W64" s="23">
        <f t="shared" si="3"/>
        <v>1.302</v>
      </c>
      <c r="X64" s="23">
        <v>1.302</v>
      </c>
      <c r="Y64" s="23"/>
      <c r="Z64" s="28">
        <f t="shared" si="4"/>
        <v>1.302</v>
      </c>
      <c r="AA64" s="31">
        <f t="shared" si="8"/>
        <v>1.302</v>
      </c>
      <c r="AB64" s="28">
        <f t="shared" si="8"/>
        <v>0</v>
      </c>
      <c r="AC64" s="5">
        <f t="shared" si="1"/>
        <v>31.148000000000003</v>
      </c>
      <c r="AE64" s="5"/>
      <c r="AG64" s="5">
        <f t="shared" si="5"/>
        <v>-1.302</v>
      </c>
      <c r="AH64" s="9"/>
      <c r="AI64" s="5">
        <f t="shared" si="6"/>
        <v>-32.450000000000003</v>
      </c>
    </row>
    <row r="65" spans="1:35" ht="15.75">
      <c r="A65" s="134">
        <v>43</v>
      </c>
      <c r="B65" s="172" t="s">
        <v>162</v>
      </c>
      <c r="C65" s="106">
        <v>3720000</v>
      </c>
      <c r="D65" s="158" t="s">
        <v>17</v>
      </c>
      <c r="E65" s="172"/>
      <c r="F65" s="172">
        <v>876</v>
      </c>
      <c r="G65" s="172" t="s">
        <v>294</v>
      </c>
      <c r="H65" s="172">
        <v>1</v>
      </c>
      <c r="I65" s="144" t="s">
        <v>274</v>
      </c>
      <c r="J65" s="172" t="s">
        <v>161</v>
      </c>
      <c r="K65" s="145">
        <v>7</v>
      </c>
      <c r="L65" s="14" t="s">
        <v>258</v>
      </c>
      <c r="M65" s="14">
        <v>2013</v>
      </c>
      <c r="N65" s="172">
        <v>6</v>
      </c>
      <c r="O65" s="172"/>
      <c r="P65" s="166"/>
      <c r="Q65" s="166"/>
      <c r="R65" s="171" t="s">
        <v>4</v>
      </c>
      <c r="S65" s="31"/>
      <c r="T65" s="23">
        <f t="shared" si="2"/>
        <v>0</v>
      </c>
      <c r="U65" s="23"/>
      <c r="V65" s="23"/>
      <c r="W65" s="23">
        <f t="shared" si="3"/>
        <v>0</v>
      </c>
      <c r="X65" s="23"/>
      <c r="Y65" s="23"/>
      <c r="Z65" s="28">
        <f t="shared" si="4"/>
        <v>0</v>
      </c>
      <c r="AA65" s="31">
        <f t="shared" si="8"/>
        <v>0</v>
      </c>
      <c r="AB65" s="28">
        <f t="shared" si="8"/>
        <v>0</v>
      </c>
      <c r="AC65" s="5">
        <f t="shared" si="1"/>
        <v>7</v>
      </c>
      <c r="AE65" s="5">
        <f t="shared" ref="AE65:AE72" si="9">K65-AC65</f>
        <v>0</v>
      </c>
      <c r="AG65" s="5">
        <f t="shared" si="5"/>
        <v>0</v>
      </c>
      <c r="AH65" s="9"/>
      <c r="AI65" s="5">
        <f t="shared" si="6"/>
        <v>-7</v>
      </c>
    </row>
    <row r="66" spans="1:35" ht="15.75">
      <c r="A66" s="134">
        <v>44</v>
      </c>
      <c r="B66" s="172" t="s">
        <v>162</v>
      </c>
      <c r="C66" s="106">
        <v>5262020</v>
      </c>
      <c r="D66" s="158" t="s">
        <v>42</v>
      </c>
      <c r="E66" s="172"/>
      <c r="F66" s="172">
        <v>876</v>
      </c>
      <c r="G66" s="172" t="s">
        <v>294</v>
      </c>
      <c r="H66" s="172">
        <v>1</v>
      </c>
      <c r="I66" s="144" t="s">
        <v>274</v>
      </c>
      <c r="J66" s="172" t="s">
        <v>161</v>
      </c>
      <c r="K66" s="145">
        <v>60</v>
      </c>
      <c r="L66" s="172" t="s">
        <v>258</v>
      </c>
      <c r="M66" s="172">
        <v>2013</v>
      </c>
      <c r="N66" s="172">
        <v>6</v>
      </c>
      <c r="O66" s="172"/>
      <c r="P66" s="166"/>
      <c r="Q66" s="166"/>
      <c r="R66" s="171" t="s">
        <v>4</v>
      </c>
      <c r="S66" s="31"/>
      <c r="T66" s="23">
        <f t="shared" si="2"/>
        <v>0</v>
      </c>
      <c r="U66" s="23"/>
      <c r="V66" s="23"/>
      <c r="W66" s="23">
        <f t="shared" si="3"/>
        <v>0</v>
      </c>
      <c r="X66" s="23"/>
      <c r="Y66" s="23"/>
      <c r="Z66" s="28">
        <f t="shared" si="4"/>
        <v>0</v>
      </c>
      <c r="AA66" s="31">
        <f t="shared" si="8"/>
        <v>0</v>
      </c>
      <c r="AB66" s="28">
        <f t="shared" si="8"/>
        <v>0</v>
      </c>
      <c r="AC66" s="5">
        <f t="shared" si="1"/>
        <v>60</v>
      </c>
      <c r="AE66" s="5">
        <f t="shared" si="9"/>
        <v>0</v>
      </c>
      <c r="AG66" s="5">
        <f t="shared" si="5"/>
        <v>0</v>
      </c>
      <c r="AH66" s="9"/>
      <c r="AI66" s="5">
        <f t="shared" si="6"/>
        <v>-60</v>
      </c>
    </row>
    <row r="67" spans="1:35" ht="15.75">
      <c r="A67" s="201">
        <v>45</v>
      </c>
      <c r="B67" s="172" t="s">
        <v>162</v>
      </c>
      <c r="C67" s="106" t="s">
        <v>291</v>
      </c>
      <c r="D67" s="135" t="s">
        <v>292</v>
      </c>
      <c r="E67" s="172"/>
      <c r="F67" s="172">
        <v>876</v>
      </c>
      <c r="G67" s="172" t="s">
        <v>294</v>
      </c>
      <c r="H67" s="172">
        <v>1</v>
      </c>
      <c r="I67" s="144" t="s">
        <v>274</v>
      </c>
      <c r="J67" s="172" t="s">
        <v>161</v>
      </c>
      <c r="K67" s="145">
        <f>K68+K69+K70+K71+K72+K73+K74+K75</f>
        <v>1132.8200000000002</v>
      </c>
      <c r="L67" s="14" t="s">
        <v>258</v>
      </c>
      <c r="M67" s="14">
        <v>2013</v>
      </c>
      <c r="N67" s="203">
        <v>6</v>
      </c>
      <c r="O67" s="172"/>
      <c r="P67" s="166"/>
      <c r="Q67" s="166"/>
      <c r="R67" s="202" t="s">
        <v>4</v>
      </c>
      <c r="S67" s="81">
        <v>3.7282199999999999</v>
      </c>
      <c r="T67" s="9">
        <f t="shared" si="2"/>
        <v>0</v>
      </c>
      <c r="U67" s="9"/>
      <c r="V67" s="9"/>
      <c r="W67" s="9">
        <f t="shared" si="3"/>
        <v>0</v>
      </c>
      <c r="X67" s="9"/>
      <c r="Y67" s="9"/>
      <c r="Z67" s="28">
        <f t="shared" si="4"/>
        <v>0</v>
      </c>
      <c r="AA67" s="31">
        <f t="shared" si="8"/>
        <v>0</v>
      </c>
      <c r="AB67" s="28">
        <f t="shared" si="8"/>
        <v>0</v>
      </c>
      <c r="AC67" s="5">
        <f t="shared" si="1"/>
        <v>1132.8200000000002</v>
      </c>
      <c r="AE67" s="5">
        <f t="shared" si="9"/>
        <v>0</v>
      </c>
      <c r="AG67" s="5">
        <f t="shared" si="5"/>
        <v>0</v>
      </c>
      <c r="AH67" s="9">
        <f>AH68+AH69+AH70+AH71+AH72+AH73+AH74+AH75</f>
        <v>0</v>
      </c>
      <c r="AI67" s="5">
        <f t="shared" si="6"/>
        <v>-1132.8200000000002</v>
      </c>
    </row>
    <row r="68" spans="1:35" ht="47.25">
      <c r="A68" s="201"/>
      <c r="B68" s="172" t="s">
        <v>162</v>
      </c>
      <c r="C68" s="106">
        <v>242400</v>
      </c>
      <c r="D68" s="135" t="s">
        <v>43</v>
      </c>
      <c r="E68" s="172" t="s">
        <v>181</v>
      </c>
      <c r="F68" s="172">
        <v>876</v>
      </c>
      <c r="G68" s="172" t="s">
        <v>294</v>
      </c>
      <c r="H68" s="172">
        <v>1</v>
      </c>
      <c r="I68" s="144" t="s">
        <v>274</v>
      </c>
      <c r="J68" s="172" t="s">
        <v>161</v>
      </c>
      <c r="K68" s="145">
        <v>70</v>
      </c>
      <c r="L68" s="14" t="s">
        <v>258</v>
      </c>
      <c r="M68" s="14">
        <v>2013</v>
      </c>
      <c r="N68" s="203"/>
      <c r="O68" s="172"/>
      <c r="P68" s="166"/>
      <c r="Q68" s="166"/>
      <c r="R68" s="202"/>
      <c r="S68" s="31"/>
      <c r="T68" s="23">
        <f t="shared" si="2"/>
        <v>0</v>
      </c>
      <c r="U68" s="23"/>
      <c r="V68" s="23"/>
      <c r="W68" s="23">
        <f t="shared" si="3"/>
        <v>0</v>
      </c>
      <c r="X68" s="23"/>
      <c r="Y68" s="23"/>
      <c r="Z68" s="28">
        <f t="shared" si="4"/>
        <v>0</v>
      </c>
      <c r="AA68" s="31">
        <f t="shared" si="8"/>
        <v>0</v>
      </c>
      <c r="AB68" s="28">
        <f t="shared" si="8"/>
        <v>0</v>
      </c>
      <c r="AC68" s="5">
        <f t="shared" si="1"/>
        <v>70</v>
      </c>
      <c r="AE68" s="5">
        <f t="shared" si="9"/>
        <v>0</v>
      </c>
      <c r="AG68" s="5">
        <f t="shared" si="5"/>
        <v>0</v>
      </c>
      <c r="AH68" s="9"/>
      <c r="AI68" s="5">
        <f t="shared" si="6"/>
        <v>-70</v>
      </c>
    </row>
    <row r="69" spans="1:35" ht="31.5">
      <c r="A69" s="201"/>
      <c r="B69" s="172" t="s">
        <v>162</v>
      </c>
      <c r="C69" s="106">
        <v>2109369</v>
      </c>
      <c r="D69" s="135" t="s">
        <v>44</v>
      </c>
      <c r="E69" s="172" t="s">
        <v>182</v>
      </c>
      <c r="F69" s="172">
        <v>876</v>
      </c>
      <c r="G69" s="172" t="s">
        <v>294</v>
      </c>
      <c r="H69" s="172">
        <v>1</v>
      </c>
      <c r="I69" s="144" t="s">
        <v>274</v>
      </c>
      <c r="J69" s="172" t="s">
        <v>161</v>
      </c>
      <c r="K69" s="145">
        <v>40</v>
      </c>
      <c r="L69" s="14" t="s">
        <v>258</v>
      </c>
      <c r="M69" s="14">
        <v>2013</v>
      </c>
      <c r="N69" s="203"/>
      <c r="O69" s="172"/>
      <c r="P69" s="166"/>
      <c r="Q69" s="166"/>
      <c r="R69" s="202"/>
      <c r="S69" s="31"/>
      <c r="T69" s="23">
        <f t="shared" si="2"/>
        <v>0</v>
      </c>
      <c r="U69" s="23"/>
      <c r="V69" s="23"/>
      <c r="W69" s="23">
        <f t="shared" si="3"/>
        <v>0</v>
      </c>
      <c r="X69" s="23"/>
      <c r="Y69" s="23"/>
      <c r="Z69" s="28">
        <f t="shared" si="4"/>
        <v>0</v>
      </c>
      <c r="AA69" s="31">
        <f t="shared" si="8"/>
        <v>0</v>
      </c>
      <c r="AB69" s="28">
        <f t="shared" si="8"/>
        <v>0</v>
      </c>
      <c r="AC69" s="5">
        <f t="shared" si="1"/>
        <v>40</v>
      </c>
      <c r="AE69" s="5">
        <f t="shared" si="9"/>
        <v>0</v>
      </c>
      <c r="AG69" s="5">
        <f t="shared" si="5"/>
        <v>0</v>
      </c>
      <c r="AH69" s="9"/>
      <c r="AI69" s="5">
        <f t="shared" si="6"/>
        <v>-40</v>
      </c>
    </row>
    <row r="70" spans="1:35" ht="15.75">
      <c r="A70" s="201"/>
      <c r="B70" s="172" t="s">
        <v>162</v>
      </c>
      <c r="C70" s="106">
        <v>2897000</v>
      </c>
      <c r="D70" s="135" t="s">
        <v>45</v>
      </c>
      <c r="E70" s="172" t="s">
        <v>183</v>
      </c>
      <c r="F70" s="172">
        <v>876</v>
      </c>
      <c r="G70" s="172" t="s">
        <v>294</v>
      </c>
      <c r="H70" s="172">
        <v>1</v>
      </c>
      <c r="I70" s="144" t="s">
        <v>274</v>
      </c>
      <c r="J70" s="172" t="s">
        <v>161</v>
      </c>
      <c r="K70" s="145">
        <v>140</v>
      </c>
      <c r="L70" s="14" t="s">
        <v>258</v>
      </c>
      <c r="M70" s="14">
        <v>2013</v>
      </c>
      <c r="N70" s="203"/>
      <c r="O70" s="172"/>
      <c r="P70" s="166"/>
      <c r="Q70" s="166"/>
      <c r="R70" s="202"/>
      <c r="S70" s="31"/>
      <c r="T70" s="23">
        <f t="shared" si="2"/>
        <v>0</v>
      </c>
      <c r="U70" s="23"/>
      <c r="V70" s="23"/>
      <c r="W70" s="23">
        <f t="shared" si="3"/>
        <v>0</v>
      </c>
      <c r="X70" s="23"/>
      <c r="Y70" s="23"/>
      <c r="Z70" s="28">
        <f t="shared" si="4"/>
        <v>0</v>
      </c>
      <c r="AA70" s="31">
        <f t="shared" si="8"/>
        <v>0</v>
      </c>
      <c r="AB70" s="28">
        <f t="shared" si="8"/>
        <v>0</v>
      </c>
      <c r="AC70" s="5">
        <f t="shared" si="1"/>
        <v>140</v>
      </c>
      <c r="AE70" s="5">
        <f t="shared" si="9"/>
        <v>0</v>
      </c>
      <c r="AG70" s="5">
        <f t="shared" si="5"/>
        <v>0</v>
      </c>
      <c r="AH70" s="9"/>
      <c r="AI70" s="5">
        <f t="shared" si="6"/>
        <v>-140</v>
      </c>
    </row>
    <row r="71" spans="1:35" ht="31.5">
      <c r="A71" s="201"/>
      <c r="B71" s="172" t="s">
        <v>162</v>
      </c>
      <c r="C71" s="106">
        <v>2422170</v>
      </c>
      <c r="D71" s="135" t="s">
        <v>46</v>
      </c>
      <c r="E71" s="172" t="s">
        <v>184</v>
      </c>
      <c r="F71" s="172">
        <v>876</v>
      </c>
      <c r="G71" s="172" t="s">
        <v>294</v>
      </c>
      <c r="H71" s="172">
        <v>1</v>
      </c>
      <c r="I71" s="144" t="s">
        <v>274</v>
      </c>
      <c r="J71" s="172" t="s">
        <v>161</v>
      </c>
      <c r="K71" s="145">
        <v>50</v>
      </c>
      <c r="L71" s="14" t="s">
        <v>258</v>
      </c>
      <c r="M71" s="14">
        <v>2013</v>
      </c>
      <c r="N71" s="203"/>
      <c r="O71" s="172"/>
      <c r="P71" s="166"/>
      <c r="Q71" s="166"/>
      <c r="R71" s="202"/>
      <c r="S71" s="31"/>
      <c r="T71" s="23">
        <f t="shared" si="2"/>
        <v>0</v>
      </c>
      <c r="U71" s="23"/>
      <c r="V71" s="23"/>
      <c r="W71" s="23">
        <f t="shared" si="3"/>
        <v>0</v>
      </c>
      <c r="X71" s="23"/>
      <c r="Y71" s="23"/>
      <c r="Z71" s="28">
        <f t="shared" si="4"/>
        <v>0</v>
      </c>
      <c r="AA71" s="31">
        <f t="shared" si="8"/>
        <v>0</v>
      </c>
      <c r="AB71" s="28">
        <f t="shared" si="8"/>
        <v>0</v>
      </c>
      <c r="AC71" s="5">
        <f t="shared" si="1"/>
        <v>50</v>
      </c>
      <c r="AE71" s="5">
        <f t="shared" si="9"/>
        <v>0</v>
      </c>
      <c r="AG71" s="5">
        <f t="shared" si="5"/>
        <v>0</v>
      </c>
      <c r="AH71" s="9"/>
      <c r="AI71" s="5">
        <f t="shared" si="6"/>
        <v>-50</v>
      </c>
    </row>
    <row r="72" spans="1:35" ht="31.5">
      <c r="A72" s="201"/>
      <c r="B72" s="172" t="s">
        <v>162</v>
      </c>
      <c r="C72" s="106">
        <v>2893030</v>
      </c>
      <c r="D72" s="135" t="s">
        <v>47</v>
      </c>
      <c r="E72" s="172" t="s">
        <v>182</v>
      </c>
      <c r="F72" s="172">
        <v>876</v>
      </c>
      <c r="G72" s="172" t="s">
        <v>294</v>
      </c>
      <c r="H72" s="172">
        <v>1</v>
      </c>
      <c r="I72" s="144" t="s">
        <v>274</v>
      </c>
      <c r="J72" s="172" t="s">
        <v>161</v>
      </c>
      <c r="K72" s="145">
        <v>60</v>
      </c>
      <c r="L72" s="14" t="s">
        <v>258</v>
      </c>
      <c r="M72" s="14">
        <v>2013</v>
      </c>
      <c r="N72" s="203"/>
      <c r="O72" s="172"/>
      <c r="P72" s="166"/>
      <c r="Q72" s="166"/>
      <c r="R72" s="202"/>
      <c r="S72" s="31"/>
      <c r="T72" s="23">
        <f t="shared" si="2"/>
        <v>0</v>
      </c>
      <c r="U72" s="23"/>
      <c r="V72" s="23"/>
      <c r="W72" s="23">
        <f t="shared" si="3"/>
        <v>0</v>
      </c>
      <c r="X72" s="23"/>
      <c r="Y72" s="23"/>
      <c r="Z72" s="28">
        <f t="shared" si="4"/>
        <v>0</v>
      </c>
      <c r="AA72" s="31">
        <f t="shared" si="8"/>
        <v>0</v>
      </c>
      <c r="AB72" s="28">
        <f t="shared" si="8"/>
        <v>0</v>
      </c>
      <c r="AC72" s="5">
        <f t="shared" si="1"/>
        <v>60</v>
      </c>
      <c r="AE72" s="5">
        <f t="shared" si="9"/>
        <v>0</v>
      </c>
      <c r="AG72" s="5">
        <f t="shared" si="5"/>
        <v>0</v>
      </c>
      <c r="AH72" s="9"/>
      <c r="AI72" s="5">
        <f t="shared" si="6"/>
        <v>-60</v>
      </c>
    </row>
    <row r="73" spans="1:35" ht="15.75">
      <c r="A73" s="201"/>
      <c r="B73" s="172" t="s">
        <v>162</v>
      </c>
      <c r="C73" s="106">
        <v>2930340</v>
      </c>
      <c r="D73" s="135" t="s">
        <v>48</v>
      </c>
      <c r="E73" s="172"/>
      <c r="F73" s="172">
        <v>876</v>
      </c>
      <c r="G73" s="172" t="s">
        <v>294</v>
      </c>
      <c r="H73" s="172">
        <v>1</v>
      </c>
      <c r="I73" s="144" t="s">
        <v>274</v>
      </c>
      <c r="J73" s="172" t="s">
        <v>161</v>
      </c>
      <c r="K73" s="145">
        <v>80</v>
      </c>
      <c r="L73" s="14" t="s">
        <v>258</v>
      </c>
      <c r="M73" s="14">
        <v>2013</v>
      </c>
      <c r="N73" s="203"/>
      <c r="O73" s="172"/>
      <c r="P73" s="166"/>
      <c r="Q73" s="166"/>
      <c r="R73" s="202"/>
      <c r="S73" s="31">
        <v>11.061</v>
      </c>
      <c r="T73" s="23">
        <f t="shared" si="2"/>
        <v>11.061</v>
      </c>
      <c r="U73" s="23">
        <v>11.061</v>
      </c>
      <c r="V73" s="23"/>
      <c r="W73" s="23">
        <f t="shared" si="3"/>
        <v>11.061</v>
      </c>
      <c r="X73" s="23">
        <v>11.061</v>
      </c>
      <c r="Y73" s="23"/>
      <c r="Z73" s="28">
        <f t="shared" si="4"/>
        <v>0</v>
      </c>
      <c r="AA73" s="31">
        <f t="shared" si="8"/>
        <v>0</v>
      </c>
      <c r="AB73" s="28">
        <f t="shared" si="8"/>
        <v>0</v>
      </c>
      <c r="AC73" s="5">
        <f t="shared" si="1"/>
        <v>68.938999999999993</v>
      </c>
      <c r="AE73" s="5"/>
      <c r="AG73" s="5">
        <f t="shared" si="5"/>
        <v>0</v>
      </c>
      <c r="AH73" s="9"/>
      <c r="AI73" s="5">
        <f t="shared" si="6"/>
        <v>-80</v>
      </c>
    </row>
    <row r="74" spans="1:35" ht="15.75">
      <c r="A74" s="201"/>
      <c r="B74" s="172" t="s">
        <v>162</v>
      </c>
      <c r="C74" s="106">
        <v>2941101</v>
      </c>
      <c r="D74" s="135" t="s">
        <v>49</v>
      </c>
      <c r="E74" s="172" t="s">
        <v>185</v>
      </c>
      <c r="F74" s="172">
        <v>876</v>
      </c>
      <c r="G74" s="172" t="s">
        <v>294</v>
      </c>
      <c r="H74" s="172">
        <v>1</v>
      </c>
      <c r="I74" s="144" t="s">
        <v>274</v>
      </c>
      <c r="J74" s="172" t="s">
        <v>161</v>
      </c>
      <c r="K74" s="145">
        <v>100</v>
      </c>
      <c r="L74" s="14" t="s">
        <v>258</v>
      </c>
      <c r="M74" s="14">
        <v>2013</v>
      </c>
      <c r="N74" s="203"/>
      <c r="O74" s="172"/>
      <c r="P74" s="166"/>
      <c r="Q74" s="166"/>
      <c r="R74" s="202"/>
      <c r="S74" s="31"/>
      <c r="T74" s="23">
        <f t="shared" si="2"/>
        <v>0</v>
      </c>
      <c r="U74" s="23"/>
      <c r="V74" s="23"/>
      <c r="W74" s="23">
        <f t="shared" si="3"/>
        <v>0</v>
      </c>
      <c r="X74" s="23"/>
      <c r="Y74" s="23"/>
      <c r="Z74" s="28">
        <f t="shared" si="4"/>
        <v>0</v>
      </c>
      <c r="AA74" s="31">
        <f t="shared" si="8"/>
        <v>0</v>
      </c>
      <c r="AB74" s="28">
        <f t="shared" si="8"/>
        <v>0</v>
      </c>
      <c r="AC74" s="5">
        <f t="shared" si="1"/>
        <v>100</v>
      </c>
      <c r="AE74" s="5">
        <f>K74-AC74</f>
        <v>0</v>
      </c>
      <c r="AG74" s="5">
        <f t="shared" si="5"/>
        <v>0</v>
      </c>
      <c r="AH74" s="9"/>
      <c r="AI74" s="5">
        <f t="shared" si="6"/>
        <v>-100</v>
      </c>
    </row>
    <row r="75" spans="1:35" ht="31.5">
      <c r="A75" s="201"/>
      <c r="B75" s="172" t="s">
        <v>162</v>
      </c>
      <c r="C75" s="106">
        <v>3697030</v>
      </c>
      <c r="D75" s="135" t="s">
        <v>50</v>
      </c>
      <c r="E75" s="172" t="s">
        <v>182</v>
      </c>
      <c r="F75" s="172">
        <v>876</v>
      </c>
      <c r="G75" s="172" t="s">
        <v>294</v>
      </c>
      <c r="H75" s="172">
        <v>1</v>
      </c>
      <c r="I75" s="144" t="s">
        <v>274</v>
      </c>
      <c r="J75" s="172" t="s">
        <v>161</v>
      </c>
      <c r="K75" s="145">
        <f>632.82+500-K68-K69-K70-K71-K72-K73-K74</f>
        <v>592.82000000000016</v>
      </c>
      <c r="L75" s="14" t="s">
        <v>258</v>
      </c>
      <c r="M75" s="14">
        <v>2013</v>
      </c>
      <c r="N75" s="203"/>
      <c r="O75" s="172"/>
      <c r="P75" s="166"/>
      <c r="Q75" s="166"/>
      <c r="R75" s="202"/>
      <c r="S75" s="31">
        <f>65.57589+100+103.106</f>
        <v>268.68189000000001</v>
      </c>
      <c r="T75" s="23">
        <f t="shared" si="2"/>
        <v>297.92369000000002</v>
      </c>
      <c r="U75" s="23">
        <f>0+11.44561+51.43428+235.0438</f>
        <v>297.92369000000002</v>
      </c>
      <c r="V75" s="23"/>
      <c r="W75" s="23">
        <f t="shared" si="3"/>
        <v>482.97068999999999</v>
      </c>
      <c r="X75" s="23">
        <f>100+21.28761+51.43428+310.2488</f>
        <v>482.97068999999999</v>
      </c>
      <c r="Y75" s="23"/>
      <c r="Z75" s="28">
        <f t="shared" si="4"/>
        <v>185.04699999999997</v>
      </c>
      <c r="AA75" s="31">
        <f t="shared" si="8"/>
        <v>185.04699999999997</v>
      </c>
      <c r="AB75" s="28">
        <f t="shared" si="8"/>
        <v>0</v>
      </c>
      <c r="AC75" s="5">
        <f t="shared" si="1"/>
        <v>109.84931000000017</v>
      </c>
      <c r="AE75" s="5"/>
      <c r="AG75" s="5">
        <f t="shared" si="5"/>
        <v>-185.04699999999997</v>
      </c>
      <c r="AH75" s="9"/>
      <c r="AI75" s="5">
        <f t="shared" si="6"/>
        <v>-592.82000000000016</v>
      </c>
    </row>
    <row r="76" spans="1:35" ht="31.5">
      <c r="A76" s="134">
        <v>46</v>
      </c>
      <c r="B76" s="172" t="s">
        <v>162</v>
      </c>
      <c r="C76" s="106">
        <v>7425010</v>
      </c>
      <c r="D76" s="135" t="s">
        <v>104</v>
      </c>
      <c r="E76" s="172" t="s">
        <v>186</v>
      </c>
      <c r="F76" s="172">
        <v>876</v>
      </c>
      <c r="G76" s="172" t="s">
        <v>294</v>
      </c>
      <c r="H76" s="172">
        <v>1</v>
      </c>
      <c r="I76" s="144" t="s">
        <v>274</v>
      </c>
      <c r="J76" s="172" t="s">
        <v>161</v>
      </c>
      <c r="K76" s="145">
        <v>200</v>
      </c>
      <c r="L76" s="172" t="s">
        <v>258</v>
      </c>
      <c r="M76" s="14">
        <v>2013</v>
      </c>
      <c r="N76" s="172">
        <v>6</v>
      </c>
      <c r="O76" s="172"/>
      <c r="P76" s="166"/>
      <c r="Q76" s="166"/>
      <c r="R76" s="171" t="s">
        <v>4</v>
      </c>
      <c r="S76" s="31"/>
      <c r="T76" s="23">
        <f t="shared" si="2"/>
        <v>0</v>
      </c>
      <c r="U76" s="10">
        <v>0</v>
      </c>
      <c r="V76" s="10"/>
      <c r="W76" s="10">
        <f t="shared" si="3"/>
        <v>14.503830000000001</v>
      </c>
      <c r="X76" s="10">
        <v>14.503830000000001</v>
      </c>
      <c r="Y76" s="10"/>
      <c r="Z76" s="28">
        <f t="shared" si="4"/>
        <v>14.503830000000001</v>
      </c>
      <c r="AA76" s="31">
        <f t="shared" si="8"/>
        <v>14.503830000000001</v>
      </c>
      <c r="AB76" s="28">
        <f t="shared" si="8"/>
        <v>0</v>
      </c>
      <c r="AC76" s="5">
        <f t="shared" si="1"/>
        <v>185.49617000000001</v>
      </c>
      <c r="AE76" s="5"/>
      <c r="AG76" s="5">
        <f t="shared" si="5"/>
        <v>-14.503830000000001</v>
      </c>
      <c r="AH76" s="9"/>
      <c r="AI76" s="5">
        <f t="shared" si="6"/>
        <v>-200</v>
      </c>
    </row>
    <row r="77" spans="1:35" ht="15.75">
      <c r="A77" s="134">
        <v>47</v>
      </c>
      <c r="B77" s="172" t="s">
        <v>162</v>
      </c>
      <c r="C77" s="106">
        <v>3002770</v>
      </c>
      <c r="D77" s="135" t="s">
        <v>51</v>
      </c>
      <c r="E77" s="172"/>
      <c r="F77" s="172">
        <v>876</v>
      </c>
      <c r="G77" s="172" t="s">
        <v>294</v>
      </c>
      <c r="H77" s="172">
        <v>1</v>
      </c>
      <c r="I77" s="144" t="s">
        <v>274</v>
      </c>
      <c r="J77" s="172" t="s">
        <v>161</v>
      </c>
      <c r="K77" s="145">
        <v>523.84</v>
      </c>
      <c r="L77" s="14" t="s">
        <v>258</v>
      </c>
      <c r="M77" s="14">
        <v>2013</v>
      </c>
      <c r="N77" s="172">
        <v>6</v>
      </c>
      <c r="O77" s="172"/>
      <c r="P77" s="166"/>
      <c r="Q77" s="166"/>
      <c r="R77" s="171" t="s">
        <v>4</v>
      </c>
      <c r="S77" s="31">
        <v>348.78500000000003</v>
      </c>
      <c r="T77" s="23">
        <f t="shared" si="2"/>
        <v>0</v>
      </c>
      <c r="U77" s="23"/>
      <c r="V77" s="23"/>
      <c r="W77" s="23">
        <f t="shared" si="3"/>
        <v>0</v>
      </c>
      <c r="X77" s="23"/>
      <c r="Y77" s="23"/>
      <c r="Z77" s="28">
        <f t="shared" si="4"/>
        <v>0</v>
      </c>
      <c r="AA77" s="31">
        <f t="shared" si="8"/>
        <v>0</v>
      </c>
      <c r="AB77" s="28">
        <f t="shared" si="8"/>
        <v>0</v>
      </c>
      <c r="AC77" s="5">
        <f t="shared" si="1"/>
        <v>523.84</v>
      </c>
      <c r="AE77" s="5">
        <f>K77-AC77</f>
        <v>0</v>
      </c>
      <c r="AG77" s="5">
        <f t="shared" si="5"/>
        <v>0</v>
      </c>
      <c r="AH77" s="9"/>
      <c r="AI77" s="5">
        <f t="shared" si="6"/>
        <v>-523.84</v>
      </c>
    </row>
    <row r="78" spans="1:35" ht="30">
      <c r="A78" s="134">
        <v>48</v>
      </c>
      <c r="B78" s="172" t="s">
        <v>162</v>
      </c>
      <c r="C78" s="106">
        <v>3222010</v>
      </c>
      <c r="D78" s="135" t="s">
        <v>87</v>
      </c>
      <c r="E78" s="172"/>
      <c r="F78" s="172">
        <v>876</v>
      </c>
      <c r="G78" s="172" t="s">
        <v>294</v>
      </c>
      <c r="H78" s="172">
        <v>1</v>
      </c>
      <c r="I78" s="144" t="s">
        <v>274</v>
      </c>
      <c r="J78" s="172" t="s">
        <v>161</v>
      </c>
      <c r="K78" s="145">
        <v>30</v>
      </c>
      <c r="L78" s="14" t="s">
        <v>258</v>
      </c>
      <c r="M78" s="14">
        <v>2013</v>
      </c>
      <c r="N78" s="172">
        <v>6</v>
      </c>
      <c r="O78" s="172"/>
      <c r="P78" s="166"/>
      <c r="Q78" s="166"/>
      <c r="R78" s="171" t="s">
        <v>4</v>
      </c>
      <c r="S78" s="31"/>
      <c r="T78" s="23">
        <f t="shared" si="2"/>
        <v>0</v>
      </c>
      <c r="U78" s="23"/>
      <c r="V78" s="23"/>
      <c r="W78" s="23">
        <f t="shared" si="3"/>
        <v>0</v>
      </c>
      <c r="X78" s="23"/>
      <c r="Y78" s="23"/>
      <c r="Z78" s="28">
        <f t="shared" si="4"/>
        <v>0</v>
      </c>
      <c r="AA78" s="31">
        <f t="shared" si="8"/>
        <v>0</v>
      </c>
      <c r="AB78" s="28">
        <f t="shared" si="8"/>
        <v>0</v>
      </c>
      <c r="AC78" s="5">
        <f t="shared" si="1"/>
        <v>30</v>
      </c>
      <c r="AE78" s="5">
        <f>K78-AC78</f>
        <v>0</v>
      </c>
      <c r="AG78" s="5">
        <f t="shared" si="5"/>
        <v>0</v>
      </c>
      <c r="AH78" s="9"/>
      <c r="AI78" s="5">
        <f t="shared" si="6"/>
        <v>-30</v>
      </c>
    </row>
    <row r="79" spans="1:35" ht="31.5">
      <c r="A79" s="134">
        <v>49</v>
      </c>
      <c r="B79" s="172" t="s">
        <v>162</v>
      </c>
      <c r="C79" s="106">
        <v>2511103</v>
      </c>
      <c r="D79" s="135" t="s">
        <v>52</v>
      </c>
      <c r="E79" s="172" t="s">
        <v>182</v>
      </c>
      <c r="F79" s="172">
        <v>876</v>
      </c>
      <c r="G79" s="172" t="s">
        <v>294</v>
      </c>
      <c r="H79" s="172">
        <v>1</v>
      </c>
      <c r="I79" s="144" t="s">
        <v>274</v>
      </c>
      <c r="J79" s="172" t="s">
        <v>161</v>
      </c>
      <c r="K79" s="145">
        <f>2000*0.41</f>
        <v>820</v>
      </c>
      <c r="L79" s="14" t="s">
        <v>258</v>
      </c>
      <c r="M79" s="14">
        <v>2013</v>
      </c>
      <c r="N79" s="172">
        <v>6</v>
      </c>
      <c r="O79" s="172"/>
      <c r="P79" s="166"/>
      <c r="Q79" s="166"/>
      <c r="R79" s="171" t="s">
        <v>4</v>
      </c>
      <c r="S79" s="31">
        <f>1451.5787/($K$79+$K$80+$K$81)*K79</f>
        <v>661.2747411111111</v>
      </c>
      <c r="T79" s="23">
        <f t="shared" si="2"/>
        <v>515.15588888888885</v>
      </c>
      <c r="U79" s="23">
        <f>1130.83/($K$79+$K$80+$K$81)*K79</f>
        <v>515.15588888888885</v>
      </c>
      <c r="V79" s="23"/>
      <c r="W79" s="23">
        <f t="shared" si="3"/>
        <v>820</v>
      </c>
      <c r="X79" s="23">
        <f>1800/($K$79+$K$80+$K$81)*K79</f>
        <v>820</v>
      </c>
      <c r="Y79" s="23"/>
      <c r="Z79" s="28">
        <f t="shared" si="4"/>
        <v>304.84411111111115</v>
      </c>
      <c r="AA79" s="31">
        <f t="shared" si="8"/>
        <v>304.84411111111115</v>
      </c>
      <c r="AB79" s="28">
        <f t="shared" si="8"/>
        <v>0</v>
      </c>
      <c r="AC79" s="5">
        <f t="shared" si="1"/>
        <v>0</v>
      </c>
      <c r="AD79" s="191">
        <f>8372.36401-S79-S80-S81-S82-S83-S84</f>
        <v>-6.0000000075888238E-4</v>
      </c>
      <c r="AE79" s="5"/>
      <c r="AG79" s="5">
        <f t="shared" si="5"/>
        <v>-304.84411111111115</v>
      </c>
      <c r="AH79" s="9">
        <f>[1]TDSheet!$J$3697</f>
        <v>16393.27</v>
      </c>
      <c r="AI79" s="5">
        <f>AH79-K79-K80-K81-K82-K83-K84</f>
        <v>-1998.7199999999993</v>
      </c>
    </row>
    <row r="80" spans="1:35" ht="31.5">
      <c r="A80" s="134">
        <v>50</v>
      </c>
      <c r="B80" s="172" t="s">
        <v>162</v>
      </c>
      <c r="C80" s="106">
        <v>2511101</v>
      </c>
      <c r="D80" s="135" t="s">
        <v>53</v>
      </c>
      <c r="E80" s="172" t="s">
        <v>182</v>
      </c>
      <c r="F80" s="172">
        <v>876</v>
      </c>
      <c r="G80" s="172" t="s">
        <v>294</v>
      </c>
      <c r="H80" s="172">
        <v>1</v>
      </c>
      <c r="I80" s="144" t="s">
        <v>274</v>
      </c>
      <c r="J80" s="172" t="s">
        <v>161</v>
      </c>
      <c r="K80" s="145">
        <f>2000*0.41</f>
        <v>820</v>
      </c>
      <c r="L80" s="14" t="s">
        <v>258</v>
      </c>
      <c r="M80" s="14">
        <v>2013</v>
      </c>
      <c r="N80" s="172">
        <v>6</v>
      </c>
      <c r="O80" s="172"/>
      <c r="P80" s="166"/>
      <c r="Q80" s="166"/>
      <c r="R80" s="171" t="s">
        <v>4</v>
      </c>
      <c r="S80" s="31">
        <f>1451.5787/($K$79+$K$80+$K$81)*K80</f>
        <v>661.2747411111111</v>
      </c>
      <c r="T80" s="23">
        <f t="shared" si="2"/>
        <v>515.15588888888885</v>
      </c>
      <c r="U80" s="23">
        <f>1130.83/($K$79+$K$80+$K$81)*K80</f>
        <v>515.15588888888885</v>
      </c>
      <c r="V80" s="23"/>
      <c r="W80" s="23">
        <f t="shared" si="3"/>
        <v>820</v>
      </c>
      <c r="X80" s="23">
        <f>1800/($K$79+$K$80+$K$81)*K80</f>
        <v>820</v>
      </c>
      <c r="Y80" s="23"/>
      <c r="Z80" s="28">
        <f t="shared" si="4"/>
        <v>304.84411111111115</v>
      </c>
      <c r="AA80" s="31">
        <f t="shared" si="8"/>
        <v>304.84411111111115</v>
      </c>
      <c r="AB80" s="28">
        <f t="shared" si="8"/>
        <v>0</v>
      </c>
      <c r="AC80" s="5">
        <f t="shared" si="1"/>
        <v>0</v>
      </c>
      <c r="AD80" s="191"/>
      <c r="AE80" s="5"/>
      <c r="AG80" s="5">
        <f t="shared" si="5"/>
        <v>-304.84411111111115</v>
      </c>
      <c r="AH80" s="9"/>
      <c r="AI80" s="5"/>
    </row>
    <row r="81" spans="1:35" ht="31.5">
      <c r="A81" s="134">
        <v>51</v>
      </c>
      <c r="B81" s="172" t="s">
        <v>162</v>
      </c>
      <c r="C81" s="106">
        <v>2511102</v>
      </c>
      <c r="D81" s="135" t="s">
        <v>54</v>
      </c>
      <c r="E81" s="172" t="s">
        <v>182</v>
      </c>
      <c r="F81" s="172">
        <v>876</v>
      </c>
      <c r="G81" s="172" t="s">
        <v>294</v>
      </c>
      <c r="H81" s="172">
        <v>1</v>
      </c>
      <c r="I81" s="144" t="s">
        <v>274</v>
      </c>
      <c r="J81" s="172" t="s">
        <v>161</v>
      </c>
      <c r="K81" s="145">
        <f>2000*0.08</f>
        <v>160</v>
      </c>
      <c r="L81" s="14" t="s">
        <v>258</v>
      </c>
      <c r="M81" s="14">
        <v>2013</v>
      </c>
      <c r="N81" s="172">
        <v>6</v>
      </c>
      <c r="O81" s="172"/>
      <c r="P81" s="166"/>
      <c r="Q81" s="166"/>
      <c r="R81" s="171" t="s">
        <v>4</v>
      </c>
      <c r="S81" s="31">
        <f>1451.5787/($K$79+$K$80+$K$81)*K81</f>
        <v>129.02921777777777</v>
      </c>
      <c r="T81" s="23">
        <f t="shared" si="2"/>
        <v>100.51822222222222</v>
      </c>
      <c r="U81" s="23">
        <f>1130.83/($K$79+$K$80+$K$81)*K81</f>
        <v>100.51822222222222</v>
      </c>
      <c r="V81" s="23"/>
      <c r="W81" s="23">
        <f t="shared" si="3"/>
        <v>160</v>
      </c>
      <c r="X81" s="23">
        <f>1800/($K$79+$K$80+$K$81)*K81</f>
        <v>160</v>
      </c>
      <c r="Y81" s="23"/>
      <c r="Z81" s="28">
        <f t="shared" si="4"/>
        <v>59.481777777777779</v>
      </c>
      <c r="AA81" s="31">
        <f t="shared" si="8"/>
        <v>59.481777777777779</v>
      </c>
      <c r="AB81" s="28">
        <f t="shared" si="8"/>
        <v>0</v>
      </c>
      <c r="AC81" s="5">
        <f t="shared" si="1"/>
        <v>0</v>
      </c>
      <c r="AD81" s="191"/>
      <c r="AE81" s="5"/>
      <c r="AG81" s="5">
        <f t="shared" si="5"/>
        <v>-59.481777777777779</v>
      </c>
      <c r="AH81" s="9"/>
      <c r="AI81" s="5"/>
    </row>
    <row r="82" spans="1:35" ht="31.5">
      <c r="A82" s="134">
        <v>52</v>
      </c>
      <c r="B82" s="172" t="s">
        <v>162</v>
      </c>
      <c r="C82" s="106">
        <v>3430000</v>
      </c>
      <c r="D82" s="135" t="s">
        <v>90</v>
      </c>
      <c r="E82" s="172" t="s">
        <v>182</v>
      </c>
      <c r="F82" s="172">
        <v>876</v>
      </c>
      <c r="G82" s="172" t="s">
        <v>294</v>
      </c>
      <c r="H82" s="172">
        <v>1</v>
      </c>
      <c r="I82" s="144" t="s">
        <v>274</v>
      </c>
      <c r="J82" s="172" t="s">
        <v>161</v>
      </c>
      <c r="K82" s="145">
        <f>13591.99*0.3+3000</f>
        <v>7077.5969999999998</v>
      </c>
      <c r="L82" s="14" t="s">
        <v>258</v>
      </c>
      <c r="M82" s="14">
        <v>2013</v>
      </c>
      <c r="N82" s="172">
        <v>6</v>
      </c>
      <c r="O82" s="172"/>
      <c r="P82" s="166"/>
      <c r="Q82" s="166"/>
      <c r="R82" s="171" t="s">
        <v>4</v>
      </c>
      <c r="S82" s="31">
        <f>(8372.36401-1451.5781)/($K$82+$K$83+$K$84)*K82</f>
        <v>2952.1795513532898</v>
      </c>
      <c r="T82" s="23">
        <f t="shared" si="2"/>
        <v>1917.512815705705</v>
      </c>
      <c r="U82" s="23">
        <f>(5626.0497-1130.83)/($K$82+$K$83+$K$84)*K82</f>
        <v>1917.512815705705</v>
      </c>
      <c r="V82" s="23"/>
      <c r="W82" s="23">
        <f t="shared" si="3"/>
        <v>3304.7375978912642</v>
      </c>
      <c r="X82" s="23">
        <f>(9547.28671-1800)/($K$82+$K$83+$K$84)*K82</f>
        <v>3304.7375978912642</v>
      </c>
      <c r="Y82" s="23"/>
      <c r="Z82" s="28">
        <f t="shared" si="4"/>
        <v>1387.2247821855592</v>
      </c>
      <c r="AA82" s="31">
        <f t="shared" si="8"/>
        <v>1387.2247821855592</v>
      </c>
      <c r="AB82" s="28">
        <f t="shared" si="8"/>
        <v>0</v>
      </c>
      <c r="AC82" s="5">
        <f t="shared" si="1"/>
        <v>3772.8594021087356</v>
      </c>
      <c r="AD82" s="191"/>
      <c r="AE82" s="5"/>
      <c r="AG82" s="5">
        <f t="shared" si="5"/>
        <v>-1387.2247821855592</v>
      </c>
      <c r="AH82" s="9"/>
      <c r="AI82" s="5"/>
    </row>
    <row r="83" spans="1:35" ht="31.5">
      <c r="A83" s="134">
        <v>53</v>
      </c>
      <c r="B83" s="172" t="s">
        <v>162</v>
      </c>
      <c r="C83" s="106">
        <v>3430000</v>
      </c>
      <c r="D83" s="135" t="s">
        <v>91</v>
      </c>
      <c r="E83" s="172" t="s">
        <v>182</v>
      </c>
      <c r="F83" s="172">
        <v>876</v>
      </c>
      <c r="G83" s="172" t="s">
        <v>294</v>
      </c>
      <c r="H83" s="172">
        <v>1</v>
      </c>
      <c r="I83" s="144" t="s">
        <v>274</v>
      </c>
      <c r="J83" s="172" t="s">
        <v>161</v>
      </c>
      <c r="K83" s="145">
        <f>13591.99*0.3</f>
        <v>4077.5969999999998</v>
      </c>
      <c r="L83" s="14" t="s">
        <v>258</v>
      </c>
      <c r="M83" s="14">
        <v>2013</v>
      </c>
      <c r="N83" s="172">
        <v>6</v>
      </c>
      <c r="O83" s="172"/>
      <c r="P83" s="166"/>
      <c r="Q83" s="166"/>
      <c r="R83" s="171" t="s">
        <v>4</v>
      </c>
      <c r="S83" s="31">
        <f>(8372.36401-1451.5781)/($K$82+$K$83+$K$84)*K83</f>
        <v>1700.8312965628759</v>
      </c>
      <c r="T83" s="23">
        <f t="shared" si="2"/>
        <v>1104.7315218404121</v>
      </c>
      <c r="U83" s="23">
        <f>(5626.0497-1130.83)/($K$82+$K$83+$K$84)*K83</f>
        <v>1104.7315218404121</v>
      </c>
      <c r="V83" s="23"/>
      <c r="W83" s="23">
        <f t="shared" si="3"/>
        <v>1903.949619475173</v>
      </c>
      <c r="X83" s="23">
        <f>(9547.28671-1800)/($K$82+$K$83+$K$84)*K83</f>
        <v>1903.949619475173</v>
      </c>
      <c r="Y83" s="23"/>
      <c r="Z83" s="28">
        <f t="shared" si="4"/>
        <v>799.21809763476085</v>
      </c>
      <c r="AA83" s="31">
        <f t="shared" si="8"/>
        <v>799.21809763476085</v>
      </c>
      <c r="AB83" s="28">
        <f t="shared" si="8"/>
        <v>0</v>
      </c>
      <c r="AC83" s="5">
        <f t="shared" si="1"/>
        <v>2173.647380524827</v>
      </c>
      <c r="AD83" s="191"/>
      <c r="AE83" s="5"/>
      <c r="AG83" s="5">
        <f t="shared" si="5"/>
        <v>-799.21809763476085</v>
      </c>
      <c r="AH83" s="9"/>
      <c r="AI83" s="5"/>
    </row>
    <row r="84" spans="1:35" ht="31.5">
      <c r="A84" s="134">
        <v>54</v>
      </c>
      <c r="B84" s="172" t="s">
        <v>162</v>
      </c>
      <c r="C84" s="106">
        <v>3430000</v>
      </c>
      <c r="D84" s="135" t="s">
        <v>88</v>
      </c>
      <c r="E84" s="172" t="s">
        <v>182</v>
      </c>
      <c r="F84" s="172">
        <v>876</v>
      </c>
      <c r="G84" s="172" t="s">
        <v>294</v>
      </c>
      <c r="H84" s="172">
        <v>1</v>
      </c>
      <c r="I84" s="144" t="s">
        <v>274</v>
      </c>
      <c r="J84" s="172" t="s">
        <v>161</v>
      </c>
      <c r="K84" s="145">
        <f>13591.99*0.4</f>
        <v>5436.7960000000003</v>
      </c>
      <c r="L84" s="14" t="s">
        <v>258</v>
      </c>
      <c r="M84" s="14">
        <v>2013</v>
      </c>
      <c r="N84" s="172">
        <v>6</v>
      </c>
      <c r="O84" s="172"/>
      <c r="P84" s="166"/>
      <c r="Q84" s="166"/>
      <c r="R84" s="171" t="s">
        <v>4</v>
      </c>
      <c r="S84" s="31">
        <f>(8372.36401-1451.5781)/($K$82+$K$83+$K$84)*K84</f>
        <v>2267.7750620838347</v>
      </c>
      <c r="T84" s="23">
        <f t="shared" si="2"/>
        <v>1472.975362453883</v>
      </c>
      <c r="U84" s="23">
        <f>(5626.0497-1130.83)/($K$82+$K$83+$K$84)*K84</f>
        <v>1472.975362453883</v>
      </c>
      <c r="V84" s="23"/>
      <c r="W84" s="23">
        <f t="shared" si="3"/>
        <v>2538.5994926335643</v>
      </c>
      <c r="X84" s="23">
        <f>(9547.28671-1800)/($K$82+$K$83+$K$84)*K84</f>
        <v>2538.5994926335643</v>
      </c>
      <c r="Y84" s="23"/>
      <c r="Z84" s="28">
        <f t="shared" si="4"/>
        <v>1065.6241301796813</v>
      </c>
      <c r="AA84" s="31">
        <f t="shared" si="8"/>
        <v>1065.6241301796813</v>
      </c>
      <c r="AB84" s="28">
        <f t="shared" si="8"/>
        <v>0</v>
      </c>
      <c r="AC84" s="5">
        <f t="shared" si="1"/>
        <v>2898.196507366436</v>
      </c>
      <c r="AD84" s="191"/>
      <c r="AE84" s="5"/>
      <c r="AG84" s="5">
        <f t="shared" si="5"/>
        <v>-1065.6241301796813</v>
      </c>
      <c r="AH84" s="9"/>
      <c r="AI84" s="5"/>
    </row>
    <row r="85" spans="1:35" ht="31.5">
      <c r="A85" s="134">
        <v>55</v>
      </c>
      <c r="B85" s="172" t="s">
        <v>162</v>
      </c>
      <c r="C85" s="106">
        <v>2944020</v>
      </c>
      <c r="D85" s="135" t="s">
        <v>89</v>
      </c>
      <c r="E85" s="172" t="s">
        <v>182</v>
      </c>
      <c r="F85" s="172">
        <v>876</v>
      </c>
      <c r="G85" s="172" t="s">
        <v>294</v>
      </c>
      <c r="H85" s="172">
        <v>1</v>
      </c>
      <c r="I85" s="144" t="s">
        <v>274</v>
      </c>
      <c r="J85" s="172" t="s">
        <v>161</v>
      </c>
      <c r="K85" s="145">
        <v>15</v>
      </c>
      <c r="L85" s="14" t="s">
        <v>258</v>
      </c>
      <c r="M85" s="14">
        <v>2013</v>
      </c>
      <c r="N85" s="172">
        <v>6</v>
      </c>
      <c r="O85" s="172"/>
      <c r="P85" s="166"/>
      <c r="Q85" s="166"/>
      <c r="R85" s="171" t="s">
        <v>4</v>
      </c>
      <c r="S85" s="31"/>
      <c r="T85" s="23">
        <f t="shared" si="2"/>
        <v>0</v>
      </c>
      <c r="U85" s="23"/>
      <c r="V85" s="23"/>
      <c r="W85" s="23">
        <f t="shared" si="3"/>
        <v>0</v>
      </c>
      <c r="X85" s="23"/>
      <c r="Y85" s="23"/>
      <c r="Z85" s="28">
        <f t="shared" si="4"/>
        <v>0</v>
      </c>
      <c r="AA85" s="31">
        <f t="shared" si="8"/>
        <v>0</v>
      </c>
      <c r="AB85" s="28">
        <f t="shared" si="8"/>
        <v>0</v>
      </c>
      <c r="AC85" s="5">
        <f t="shared" si="1"/>
        <v>15</v>
      </c>
      <c r="AE85" s="5">
        <f>K85-AC85</f>
        <v>0</v>
      </c>
      <c r="AG85" s="5">
        <f t="shared" si="5"/>
        <v>0</v>
      </c>
      <c r="AH85" s="9"/>
      <c r="AI85" s="5">
        <f t="shared" si="6"/>
        <v>-15</v>
      </c>
    </row>
    <row r="86" spans="1:35" ht="31.5">
      <c r="A86" s="134">
        <v>56</v>
      </c>
      <c r="B86" s="172" t="s">
        <v>162</v>
      </c>
      <c r="C86" s="106">
        <v>3221000</v>
      </c>
      <c r="D86" s="135" t="s">
        <v>73</v>
      </c>
      <c r="E86" s="172" t="s">
        <v>182</v>
      </c>
      <c r="F86" s="172">
        <v>876</v>
      </c>
      <c r="G86" s="172" t="s">
        <v>294</v>
      </c>
      <c r="H86" s="172">
        <v>1</v>
      </c>
      <c r="I86" s="144" t="s">
        <v>274</v>
      </c>
      <c r="J86" s="172" t="s">
        <v>161</v>
      </c>
      <c r="K86" s="145">
        <v>653.38</v>
      </c>
      <c r="L86" s="14" t="s">
        <v>258</v>
      </c>
      <c r="M86" s="14">
        <v>2013</v>
      </c>
      <c r="N86" s="172">
        <v>6</v>
      </c>
      <c r="O86" s="172"/>
      <c r="P86" s="166"/>
      <c r="Q86" s="166"/>
      <c r="R86" s="171" t="s">
        <v>4</v>
      </c>
      <c r="S86" s="31"/>
      <c r="T86" s="23">
        <f t="shared" si="2"/>
        <v>0</v>
      </c>
      <c r="U86" s="23"/>
      <c r="V86" s="23"/>
      <c r="W86" s="23">
        <f t="shared" si="3"/>
        <v>0</v>
      </c>
      <c r="X86" s="23"/>
      <c r="Y86" s="23"/>
      <c r="Z86" s="28">
        <f t="shared" si="4"/>
        <v>0</v>
      </c>
      <c r="AA86" s="31">
        <f t="shared" si="8"/>
        <v>0</v>
      </c>
      <c r="AB86" s="28">
        <f t="shared" si="8"/>
        <v>0</v>
      </c>
      <c r="AC86" s="5">
        <f t="shared" si="1"/>
        <v>653.38</v>
      </c>
      <c r="AE86" s="5">
        <f>K86-AC86</f>
        <v>0</v>
      </c>
      <c r="AG86" s="5">
        <f t="shared" si="5"/>
        <v>0</v>
      </c>
      <c r="AH86" s="9"/>
      <c r="AI86" s="5">
        <f t="shared" si="6"/>
        <v>-653.38</v>
      </c>
    </row>
    <row r="87" spans="1:35" ht="15.75">
      <c r="A87" s="134">
        <v>57</v>
      </c>
      <c r="B87" s="172" t="s">
        <v>162</v>
      </c>
      <c r="C87" s="106">
        <v>2320020</v>
      </c>
      <c r="D87" s="135" t="s">
        <v>74</v>
      </c>
      <c r="E87" s="172" t="s">
        <v>187</v>
      </c>
      <c r="F87" s="172">
        <v>876</v>
      </c>
      <c r="G87" s="172" t="s">
        <v>294</v>
      </c>
      <c r="H87" s="172">
        <v>1</v>
      </c>
      <c r="I87" s="144" t="s">
        <v>274</v>
      </c>
      <c r="J87" s="172" t="s">
        <v>161</v>
      </c>
      <c r="K87" s="145">
        <f>41485.4*0.302</f>
        <v>12528.5908</v>
      </c>
      <c r="L87" s="14" t="s">
        <v>258</v>
      </c>
      <c r="M87" s="14">
        <v>2013</v>
      </c>
      <c r="N87" s="172">
        <v>3</v>
      </c>
      <c r="O87" s="172"/>
      <c r="P87" s="166"/>
      <c r="Q87" s="166"/>
      <c r="R87" s="171" t="s">
        <v>4</v>
      </c>
      <c r="S87" s="31">
        <f>679.17429</f>
        <v>679.17429000000004</v>
      </c>
      <c r="T87" s="23">
        <f t="shared" si="2"/>
        <v>1562.3374131871631</v>
      </c>
      <c r="U87" s="23">
        <f>6821.07441/($X$87+$X$88+$X$89+$X$90)*X87</f>
        <v>1484.6533331871631</v>
      </c>
      <c r="V87" s="23">
        <v>77.684079999999994</v>
      </c>
      <c r="W87" s="23">
        <f t="shared" si="3"/>
        <v>2198.1572000000001</v>
      </c>
      <c r="X87" s="23">
        <f>2041.575</f>
        <v>2041.575</v>
      </c>
      <c r="Y87" s="23">
        <v>156.5822</v>
      </c>
      <c r="Z87" s="28">
        <f t="shared" si="4"/>
        <v>635.81978681283704</v>
      </c>
      <c r="AA87" s="31">
        <f t="shared" ref="AA87:AB118" si="10">X87-U87</f>
        <v>556.92166681283697</v>
      </c>
      <c r="AB87" s="28">
        <f t="shared" si="10"/>
        <v>78.898120000000006</v>
      </c>
      <c r="AC87" s="5">
        <f t="shared" ref="AC87:AC143" si="11">K87-X87</f>
        <v>10487.015799999999</v>
      </c>
      <c r="AD87" s="191">
        <f>8212.02264-S87-S88-S89-S90</f>
        <v>6.9999999027459126E-5</v>
      </c>
      <c r="AE87" s="5"/>
      <c r="AG87" s="5">
        <f t="shared" si="5"/>
        <v>-556.92166681283697</v>
      </c>
      <c r="AH87" s="9">
        <f>[1]TDSheet!$J$3467</f>
        <v>35945.82</v>
      </c>
      <c r="AI87" s="5">
        <f>AH87-K87-K88-K89-K90</f>
        <v>-5539.5799999999981</v>
      </c>
    </row>
    <row r="88" spans="1:35" ht="15.75">
      <c r="A88" s="134">
        <v>58</v>
      </c>
      <c r="B88" s="172" t="s">
        <v>162</v>
      </c>
      <c r="C88" s="106">
        <v>2320020</v>
      </c>
      <c r="D88" s="135" t="s">
        <v>75</v>
      </c>
      <c r="E88" s="172" t="s">
        <v>188</v>
      </c>
      <c r="F88" s="172">
        <v>876</v>
      </c>
      <c r="G88" s="172" t="s">
        <v>294</v>
      </c>
      <c r="H88" s="172">
        <v>1</v>
      </c>
      <c r="I88" s="144" t="s">
        <v>274</v>
      </c>
      <c r="J88" s="172" t="s">
        <v>161</v>
      </c>
      <c r="K88" s="145">
        <f>41485.4*0.128</f>
        <v>5310.1312000000007</v>
      </c>
      <c r="L88" s="14" t="s">
        <v>258</v>
      </c>
      <c r="M88" s="14">
        <v>2013</v>
      </c>
      <c r="N88" s="172">
        <v>3</v>
      </c>
      <c r="O88" s="172"/>
      <c r="P88" s="166"/>
      <c r="Q88" s="166"/>
      <c r="R88" s="171" t="s">
        <v>4</v>
      </c>
      <c r="S88" s="31">
        <f>1651.8375</f>
        <v>1651.8375000000001</v>
      </c>
      <c r="T88" s="23">
        <f t="shared" ref="T88:T142" si="12">U88+V88</f>
        <v>1513.7831758662114</v>
      </c>
      <c r="U88" s="23">
        <f>6821.07441/($X$87+$X$88+$X$89+$X$90)*X88</f>
        <v>1513.7831758662114</v>
      </c>
      <c r="V88" s="23"/>
      <c r="W88" s="23">
        <f t="shared" ref="W88:W142" si="13">X88++Y88</f>
        <v>2081.6320000000001</v>
      </c>
      <c r="X88" s="23">
        <f>2081.632</f>
        <v>2081.6320000000001</v>
      </c>
      <c r="Y88" s="23"/>
      <c r="Z88" s="28">
        <f t="shared" ref="Z88:Z142" si="14">AA88+AB88</f>
        <v>567.84882413378864</v>
      </c>
      <c r="AA88" s="31">
        <f t="shared" si="10"/>
        <v>567.84882413378864</v>
      </c>
      <c r="AB88" s="28">
        <f t="shared" si="10"/>
        <v>0</v>
      </c>
      <c r="AC88" s="5">
        <f t="shared" si="11"/>
        <v>3228.4992000000007</v>
      </c>
      <c r="AD88" s="191"/>
      <c r="AE88" s="5"/>
      <c r="AG88" s="5">
        <f t="shared" ref="AG88:AG143" si="15">U88-X88</f>
        <v>-567.84882413378864</v>
      </c>
      <c r="AH88" s="9"/>
      <c r="AI88" s="5"/>
    </row>
    <row r="89" spans="1:35" ht="15.75">
      <c r="A89" s="134">
        <v>59</v>
      </c>
      <c r="B89" s="172" t="s">
        <v>162</v>
      </c>
      <c r="C89" s="106">
        <v>2320232</v>
      </c>
      <c r="D89" s="135" t="s">
        <v>55</v>
      </c>
      <c r="E89" s="172" t="s">
        <v>189</v>
      </c>
      <c r="F89" s="172">
        <v>876</v>
      </c>
      <c r="G89" s="172" t="s">
        <v>294</v>
      </c>
      <c r="H89" s="172">
        <v>1</v>
      </c>
      <c r="I89" s="144" t="s">
        <v>274</v>
      </c>
      <c r="J89" s="172" t="s">
        <v>161</v>
      </c>
      <c r="K89" s="145">
        <f>41485.4*0.51</f>
        <v>21157.554</v>
      </c>
      <c r="L89" s="14" t="s">
        <v>258</v>
      </c>
      <c r="M89" s="14">
        <v>2013</v>
      </c>
      <c r="N89" s="172">
        <v>3</v>
      </c>
      <c r="O89" s="172"/>
      <c r="P89" s="166"/>
      <c r="Q89" s="166"/>
      <c r="R89" s="171" t="s">
        <v>4</v>
      </c>
      <c r="S89" s="31">
        <f>3845.75+1651.146</f>
        <v>5496.8959999999997</v>
      </c>
      <c r="T89" s="23">
        <f t="shared" si="12"/>
        <v>3407.5072817613282</v>
      </c>
      <c r="U89" s="23">
        <f>6821.07441/($X$87+$X$88+$X$89+$X$90)*X89</f>
        <v>3407.5072817613282</v>
      </c>
      <c r="V89" s="23"/>
      <c r="W89" s="23">
        <f t="shared" si="13"/>
        <v>4685.7279899999985</v>
      </c>
      <c r="X89" s="23">
        <f>9379.78899-X87-X88-X90</f>
        <v>4685.7279899999985</v>
      </c>
      <c r="Y89" s="23"/>
      <c r="Z89" s="28">
        <f t="shared" si="14"/>
        <v>1278.2207082386703</v>
      </c>
      <c r="AA89" s="31">
        <f t="shared" si="10"/>
        <v>1278.2207082386703</v>
      </c>
      <c r="AB89" s="28">
        <f t="shared" si="10"/>
        <v>0</v>
      </c>
      <c r="AC89" s="5">
        <f t="shared" si="11"/>
        <v>16471.826010000001</v>
      </c>
      <c r="AD89" s="191"/>
      <c r="AE89" s="5"/>
      <c r="AG89" s="5">
        <f t="shared" si="15"/>
        <v>-1278.2207082386703</v>
      </c>
      <c r="AH89" s="9"/>
      <c r="AI89" s="5"/>
    </row>
    <row r="90" spans="1:35" ht="30">
      <c r="A90" s="134">
        <v>60</v>
      </c>
      <c r="B90" s="172" t="s">
        <v>162</v>
      </c>
      <c r="C90" s="106">
        <v>2320212</v>
      </c>
      <c r="D90" s="135" t="s">
        <v>56</v>
      </c>
      <c r="E90" s="172" t="s">
        <v>190</v>
      </c>
      <c r="F90" s="172">
        <v>876</v>
      </c>
      <c r="G90" s="172" t="s">
        <v>294</v>
      </c>
      <c r="H90" s="172">
        <v>1</v>
      </c>
      <c r="I90" s="144" t="s">
        <v>274</v>
      </c>
      <c r="J90" s="172" t="s">
        <v>161</v>
      </c>
      <c r="K90" s="145">
        <f>41485.4*0.06</f>
        <v>2489.1239999999998</v>
      </c>
      <c r="L90" s="14" t="s">
        <v>258</v>
      </c>
      <c r="M90" s="14">
        <v>2013</v>
      </c>
      <c r="N90" s="172">
        <v>3</v>
      </c>
      <c r="O90" s="172"/>
      <c r="P90" s="166"/>
      <c r="Q90" s="166"/>
      <c r="R90" s="171" t="s">
        <v>4</v>
      </c>
      <c r="S90" s="31">
        <f>384.11478</f>
        <v>384.11478</v>
      </c>
      <c r="T90" s="23">
        <f t="shared" si="12"/>
        <v>415.13061918529803</v>
      </c>
      <c r="U90" s="23">
        <f>6821.07441/($X$87+$X$88+$X$89+$X$90)*X90</f>
        <v>415.13061918529803</v>
      </c>
      <c r="V90" s="23"/>
      <c r="W90" s="23">
        <f t="shared" si="13"/>
        <v>570.85400000000004</v>
      </c>
      <c r="X90" s="23">
        <v>570.85400000000004</v>
      </c>
      <c r="Y90" s="23"/>
      <c r="Z90" s="28">
        <f t="shared" si="14"/>
        <v>155.72338081470201</v>
      </c>
      <c r="AA90" s="31">
        <f t="shared" si="10"/>
        <v>155.72338081470201</v>
      </c>
      <c r="AB90" s="28">
        <f t="shared" si="10"/>
        <v>0</v>
      </c>
      <c r="AC90" s="5">
        <f t="shared" si="11"/>
        <v>1918.2699999999998</v>
      </c>
      <c r="AD90" s="191"/>
      <c r="AE90" s="5"/>
      <c r="AG90" s="5">
        <f t="shared" si="15"/>
        <v>-155.72338081470201</v>
      </c>
      <c r="AH90" s="9"/>
      <c r="AI90" s="5"/>
    </row>
    <row r="91" spans="1:35" ht="15.75">
      <c r="A91" s="134">
        <v>61</v>
      </c>
      <c r="B91" s="172" t="s">
        <v>162</v>
      </c>
      <c r="C91" s="106">
        <v>2320221</v>
      </c>
      <c r="D91" s="135" t="s">
        <v>57</v>
      </c>
      <c r="E91" s="172" t="s">
        <v>191</v>
      </c>
      <c r="F91" s="172">
        <v>876</v>
      </c>
      <c r="G91" s="172" t="s">
        <v>294</v>
      </c>
      <c r="H91" s="172">
        <v>1</v>
      </c>
      <c r="I91" s="144" t="s">
        <v>274</v>
      </c>
      <c r="J91" s="172" t="s">
        <v>161</v>
      </c>
      <c r="K91" s="145">
        <f>1000+3000</f>
        <v>4000</v>
      </c>
      <c r="L91" s="14" t="s">
        <v>258</v>
      </c>
      <c r="M91" s="14">
        <v>2013</v>
      </c>
      <c r="N91" s="172">
        <v>3</v>
      </c>
      <c r="O91" s="172"/>
      <c r="P91" s="166"/>
      <c r="Q91" s="166"/>
      <c r="R91" s="171" t="s">
        <v>4</v>
      </c>
      <c r="S91" s="31"/>
      <c r="T91" s="23">
        <f t="shared" si="12"/>
        <v>0</v>
      </c>
      <c r="U91" s="23"/>
      <c r="V91" s="23"/>
      <c r="W91" s="23">
        <f t="shared" si="13"/>
        <v>0</v>
      </c>
      <c r="X91" s="23"/>
      <c r="Y91" s="23"/>
      <c r="Z91" s="28">
        <f t="shared" si="14"/>
        <v>0</v>
      </c>
      <c r="AA91" s="31">
        <f t="shared" si="10"/>
        <v>0</v>
      </c>
      <c r="AB91" s="28">
        <f t="shared" si="10"/>
        <v>0</v>
      </c>
      <c r="AC91" s="5">
        <f t="shared" si="11"/>
        <v>4000</v>
      </c>
      <c r="AE91" s="5">
        <f>K91-AC91</f>
        <v>0</v>
      </c>
      <c r="AG91" s="5">
        <f t="shared" si="15"/>
        <v>0</v>
      </c>
      <c r="AH91" s="10"/>
      <c r="AI91" s="5">
        <f t="shared" ref="AI91:AI154" si="16">AH91-K91</f>
        <v>-4000</v>
      </c>
    </row>
    <row r="92" spans="1:35" ht="94.5">
      <c r="A92" s="134">
        <v>62</v>
      </c>
      <c r="B92" s="172" t="s">
        <v>162</v>
      </c>
      <c r="C92" s="106">
        <v>3699010</v>
      </c>
      <c r="D92" s="135" t="s">
        <v>58</v>
      </c>
      <c r="E92" s="172" t="s">
        <v>192</v>
      </c>
      <c r="F92" s="172">
        <v>876</v>
      </c>
      <c r="G92" s="172" t="s">
        <v>294</v>
      </c>
      <c r="H92" s="172">
        <v>1</v>
      </c>
      <c r="I92" s="144" t="s">
        <v>274</v>
      </c>
      <c r="J92" s="172" t="s">
        <v>161</v>
      </c>
      <c r="K92" s="145">
        <v>942.17</v>
      </c>
      <c r="L92" s="14" t="s">
        <v>258</v>
      </c>
      <c r="M92" s="14">
        <v>2013</v>
      </c>
      <c r="N92" s="172">
        <v>6</v>
      </c>
      <c r="O92" s="172"/>
      <c r="P92" s="166"/>
      <c r="Q92" s="166"/>
      <c r="R92" s="171" t="s">
        <v>4</v>
      </c>
      <c r="S92" s="31">
        <v>38.591720000000002</v>
      </c>
      <c r="T92" s="23">
        <f t="shared" si="12"/>
        <v>34.863500000000002</v>
      </c>
      <c r="U92" s="23">
        <f>34.8635+0</f>
        <v>34.863500000000002</v>
      </c>
      <c r="V92" s="23"/>
      <c r="W92" s="23">
        <f t="shared" si="13"/>
        <v>107.61972</v>
      </c>
      <c r="X92" s="23">
        <f>34.8635+72.75622</f>
        <v>107.61972</v>
      </c>
      <c r="Y92" s="23"/>
      <c r="Z92" s="28">
        <f t="shared" si="14"/>
        <v>72.756219999999999</v>
      </c>
      <c r="AA92" s="31">
        <f t="shared" si="10"/>
        <v>72.756219999999999</v>
      </c>
      <c r="AB92" s="28">
        <f t="shared" si="10"/>
        <v>0</v>
      </c>
      <c r="AC92" s="5">
        <f t="shared" si="11"/>
        <v>834.55027999999993</v>
      </c>
      <c r="AE92" s="5"/>
      <c r="AG92" s="5">
        <f t="shared" si="15"/>
        <v>-72.756219999999999</v>
      </c>
      <c r="AH92" s="9"/>
      <c r="AI92" s="5">
        <f t="shared" si="16"/>
        <v>-942.17</v>
      </c>
    </row>
    <row r="93" spans="1:35" ht="15.75">
      <c r="A93" s="134">
        <v>63</v>
      </c>
      <c r="B93" s="172" t="s">
        <v>162</v>
      </c>
      <c r="C93" s="106">
        <v>2101511</v>
      </c>
      <c r="D93" s="135" t="s">
        <v>59</v>
      </c>
      <c r="E93" s="172" t="s">
        <v>193</v>
      </c>
      <c r="F93" s="172">
        <v>876</v>
      </c>
      <c r="G93" s="172" t="s">
        <v>294</v>
      </c>
      <c r="H93" s="172">
        <v>1</v>
      </c>
      <c r="I93" s="144" t="s">
        <v>274</v>
      </c>
      <c r="J93" s="172" t="s">
        <v>161</v>
      </c>
      <c r="K93" s="145">
        <f>(100*2*12+500*0.5*12)*120/1000</f>
        <v>648</v>
      </c>
      <c r="L93" s="14" t="s">
        <v>258</v>
      </c>
      <c r="M93" s="14">
        <v>2013</v>
      </c>
      <c r="N93" s="172">
        <v>5</v>
      </c>
      <c r="O93" s="172"/>
      <c r="P93" s="166"/>
      <c r="Q93" s="166"/>
      <c r="R93" s="171" t="s">
        <v>4</v>
      </c>
      <c r="S93" s="31"/>
      <c r="T93" s="23">
        <f t="shared" si="12"/>
        <v>0</v>
      </c>
      <c r="U93" s="23"/>
      <c r="V93" s="23"/>
      <c r="W93" s="23">
        <f t="shared" si="13"/>
        <v>0</v>
      </c>
      <c r="X93" s="23"/>
      <c r="Y93" s="23"/>
      <c r="Z93" s="28">
        <f t="shared" si="14"/>
        <v>0</v>
      </c>
      <c r="AA93" s="31">
        <f t="shared" si="10"/>
        <v>0</v>
      </c>
      <c r="AB93" s="28">
        <f t="shared" si="10"/>
        <v>0</v>
      </c>
      <c r="AC93" s="5">
        <f t="shared" si="11"/>
        <v>648</v>
      </c>
      <c r="AE93" s="5">
        <f>K93-AC93</f>
        <v>0</v>
      </c>
      <c r="AG93" s="5">
        <f t="shared" si="15"/>
        <v>0</v>
      </c>
      <c r="AH93" s="9"/>
      <c r="AI93" s="5">
        <f t="shared" si="16"/>
        <v>-648</v>
      </c>
    </row>
    <row r="94" spans="1:35" ht="30">
      <c r="A94" s="134">
        <v>64</v>
      </c>
      <c r="B94" s="172" t="s">
        <v>162</v>
      </c>
      <c r="C94" s="106">
        <v>2200000</v>
      </c>
      <c r="D94" s="135" t="s">
        <v>83</v>
      </c>
      <c r="E94" s="172" t="s">
        <v>194</v>
      </c>
      <c r="F94" s="172">
        <v>876</v>
      </c>
      <c r="G94" s="172" t="s">
        <v>294</v>
      </c>
      <c r="H94" s="172">
        <v>1</v>
      </c>
      <c r="I94" s="144" t="s">
        <v>274</v>
      </c>
      <c r="J94" s="172" t="s">
        <v>161</v>
      </c>
      <c r="K94" s="145">
        <f>50+229+600+16.72</f>
        <v>895.72</v>
      </c>
      <c r="L94" s="14" t="s">
        <v>258</v>
      </c>
      <c r="M94" s="14">
        <v>2013</v>
      </c>
      <c r="N94" s="172">
        <v>4</v>
      </c>
      <c r="O94" s="172"/>
      <c r="P94" s="166"/>
      <c r="Q94" s="166"/>
      <c r="R94" s="171" t="s">
        <v>6</v>
      </c>
      <c r="S94" s="31">
        <v>895.71799999999996</v>
      </c>
      <c r="T94" s="23">
        <f t="shared" si="12"/>
        <v>895.71799999999996</v>
      </c>
      <c r="U94" s="23">
        <v>895.71799999999996</v>
      </c>
      <c r="V94" s="23"/>
      <c r="W94" s="23">
        <f t="shared" si="13"/>
        <v>895.71799999999996</v>
      </c>
      <c r="X94" s="23">
        <v>895.71799999999996</v>
      </c>
      <c r="Y94" s="23"/>
      <c r="Z94" s="28">
        <f t="shared" si="14"/>
        <v>0</v>
      </c>
      <c r="AA94" s="31">
        <f t="shared" si="10"/>
        <v>0</v>
      </c>
      <c r="AB94" s="28">
        <f t="shared" si="10"/>
        <v>0</v>
      </c>
      <c r="AC94" s="5">
        <f t="shared" si="11"/>
        <v>2.0000000000663931E-3</v>
      </c>
      <c r="AE94" s="5"/>
      <c r="AG94" s="5">
        <f t="shared" si="15"/>
        <v>0</v>
      </c>
      <c r="AH94" s="9">
        <f>[1]TDSheet!$J$2723</f>
        <v>895.72</v>
      </c>
      <c r="AI94" s="5">
        <f t="shared" si="16"/>
        <v>0</v>
      </c>
    </row>
    <row r="95" spans="1:35" ht="15.75">
      <c r="A95" s="134">
        <v>65</v>
      </c>
      <c r="B95" s="172" t="s">
        <v>162</v>
      </c>
      <c r="C95" s="106">
        <v>7523040</v>
      </c>
      <c r="D95" s="135" t="s">
        <v>131</v>
      </c>
      <c r="E95" s="172" t="s">
        <v>195</v>
      </c>
      <c r="F95" s="172">
        <v>876</v>
      </c>
      <c r="G95" s="172" t="s">
        <v>294</v>
      </c>
      <c r="H95" s="172">
        <v>1</v>
      </c>
      <c r="I95" s="144" t="s">
        <v>274</v>
      </c>
      <c r="J95" s="172" t="s">
        <v>161</v>
      </c>
      <c r="K95" s="145">
        <f>284.62+41.8</f>
        <v>326.42</v>
      </c>
      <c r="L95" s="14" t="s">
        <v>258</v>
      </c>
      <c r="M95" s="14">
        <v>2013</v>
      </c>
      <c r="N95" s="172">
        <v>4</v>
      </c>
      <c r="O95" s="172"/>
      <c r="P95" s="166"/>
      <c r="Q95" s="166"/>
      <c r="R95" s="171" t="s">
        <v>6</v>
      </c>
      <c r="S95" s="31"/>
      <c r="T95" s="23">
        <f t="shared" si="12"/>
        <v>0</v>
      </c>
      <c r="U95" s="23">
        <v>0</v>
      </c>
      <c r="V95" s="23"/>
      <c r="W95" s="23">
        <f t="shared" si="13"/>
        <v>148.20832999999999</v>
      </c>
      <c r="X95" s="23">
        <v>148.20832999999999</v>
      </c>
      <c r="Y95" s="23"/>
      <c r="Z95" s="28">
        <f t="shared" si="14"/>
        <v>148.20832999999999</v>
      </c>
      <c r="AA95" s="31">
        <f t="shared" si="10"/>
        <v>148.20832999999999</v>
      </c>
      <c r="AB95" s="28">
        <f t="shared" si="10"/>
        <v>0</v>
      </c>
      <c r="AC95" s="5">
        <f t="shared" si="11"/>
        <v>178.21167000000003</v>
      </c>
      <c r="AE95" s="5"/>
      <c r="AG95" s="5">
        <f t="shared" si="15"/>
        <v>-148.20832999999999</v>
      </c>
      <c r="AH95" s="9">
        <f>[1]TDSheet!$J$2721-[1]TDSheet!$J$2723</f>
        <v>326.42000000000007</v>
      </c>
      <c r="AI95" s="5">
        <f t="shared" si="16"/>
        <v>0</v>
      </c>
    </row>
    <row r="96" spans="1:35" ht="15.75">
      <c r="A96" s="134">
        <v>66</v>
      </c>
      <c r="B96" s="172" t="s">
        <v>162</v>
      </c>
      <c r="C96" s="106">
        <v>7523040</v>
      </c>
      <c r="D96" s="135" t="s">
        <v>132</v>
      </c>
      <c r="E96" s="172" t="s">
        <v>195</v>
      </c>
      <c r="F96" s="172">
        <v>876</v>
      </c>
      <c r="G96" s="172" t="s">
        <v>294</v>
      </c>
      <c r="H96" s="172">
        <v>1</v>
      </c>
      <c r="I96" s="144" t="s">
        <v>274</v>
      </c>
      <c r="J96" s="172" t="s">
        <v>161</v>
      </c>
      <c r="K96" s="145">
        <v>60</v>
      </c>
      <c r="L96" s="14" t="s">
        <v>258</v>
      </c>
      <c r="M96" s="14">
        <v>2013</v>
      </c>
      <c r="N96" s="172">
        <v>4</v>
      </c>
      <c r="O96" s="172"/>
      <c r="P96" s="166"/>
      <c r="Q96" s="166"/>
      <c r="R96" s="171" t="s">
        <v>6</v>
      </c>
      <c r="S96" s="31">
        <v>0</v>
      </c>
      <c r="T96" s="23">
        <f t="shared" si="12"/>
        <v>0</v>
      </c>
      <c r="U96" s="23">
        <v>0</v>
      </c>
      <c r="V96" s="23"/>
      <c r="W96" s="23">
        <f t="shared" si="13"/>
        <v>30</v>
      </c>
      <c r="X96" s="23">
        <v>30</v>
      </c>
      <c r="Y96" s="23"/>
      <c r="Z96" s="28">
        <f t="shared" si="14"/>
        <v>30</v>
      </c>
      <c r="AA96" s="31">
        <f t="shared" si="10"/>
        <v>30</v>
      </c>
      <c r="AB96" s="28">
        <f t="shared" si="10"/>
        <v>0</v>
      </c>
      <c r="AC96" s="5">
        <f t="shared" si="11"/>
        <v>30</v>
      </c>
      <c r="AE96" s="5"/>
      <c r="AG96" s="5">
        <f t="shared" si="15"/>
        <v>-30</v>
      </c>
      <c r="AH96" s="9"/>
      <c r="AI96" s="5">
        <f t="shared" si="16"/>
        <v>-60</v>
      </c>
    </row>
    <row r="97" spans="1:35" ht="31.5">
      <c r="A97" s="134">
        <v>67</v>
      </c>
      <c r="B97" s="172" t="s">
        <v>162</v>
      </c>
      <c r="C97" s="106">
        <v>1540000</v>
      </c>
      <c r="D97" s="158" t="s">
        <v>60</v>
      </c>
      <c r="E97" s="172" t="s">
        <v>196</v>
      </c>
      <c r="F97" s="172">
        <v>876</v>
      </c>
      <c r="G97" s="172" t="s">
        <v>294</v>
      </c>
      <c r="H97" s="172">
        <v>1</v>
      </c>
      <c r="I97" s="144" t="s">
        <v>274</v>
      </c>
      <c r="J97" s="172" t="s">
        <v>161</v>
      </c>
      <c r="K97" s="145">
        <v>5115.43</v>
      </c>
      <c r="L97" s="14" t="s">
        <v>258</v>
      </c>
      <c r="M97" s="14">
        <v>2013</v>
      </c>
      <c r="N97" s="172">
        <v>3</v>
      </c>
      <c r="O97" s="172"/>
      <c r="P97" s="166"/>
      <c r="Q97" s="166"/>
      <c r="R97" s="171" t="s">
        <v>4</v>
      </c>
      <c r="S97" s="31">
        <f>1776.087</f>
        <v>1776.087</v>
      </c>
      <c r="T97" s="23">
        <f t="shared" si="12"/>
        <v>914.36199999999997</v>
      </c>
      <c r="U97" s="23">
        <v>914.36199999999997</v>
      </c>
      <c r="V97" s="23"/>
      <c r="W97" s="23">
        <f t="shared" si="13"/>
        <v>2633.817</v>
      </c>
      <c r="X97" s="23">
        <v>2633.817</v>
      </c>
      <c r="Y97" s="23"/>
      <c r="Z97" s="28">
        <f t="shared" si="14"/>
        <v>1719.4549999999999</v>
      </c>
      <c r="AA97" s="31">
        <f t="shared" si="10"/>
        <v>1719.4549999999999</v>
      </c>
      <c r="AB97" s="28">
        <f t="shared" si="10"/>
        <v>0</v>
      </c>
      <c r="AC97" s="5">
        <f t="shared" si="11"/>
        <v>2481.6130000000003</v>
      </c>
      <c r="AE97" s="5"/>
      <c r="AG97" s="5">
        <f t="shared" si="15"/>
        <v>-1719.4549999999999</v>
      </c>
      <c r="AH97" s="9"/>
      <c r="AI97" s="5">
        <f t="shared" si="16"/>
        <v>-5115.43</v>
      </c>
    </row>
    <row r="98" spans="1:35" ht="15.75">
      <c r="A98" s="134">
        <v>68</v>
      </c>
      <c r="B98" s="172" t="s">
        <v>162</v>
      </c>
      <c r="C98" s="106">
        <v>1800000</v>
      </c>
      <c r="D98" s="158" t="s">
        <v>61</v>
      </c>
      <c r="E98" s="172" t="s">
        <v>197</v>
      </c>
      <c r="F98" s="172">
        <v>876</v>
      </c>
      <c r="G98" s="172" t="s">
        <v>294</v>
      </c>
      <c r="H98" s="172">
        <v>1</v>
      </c>
      <c r="I98" s="144" t="s">
        <v>274</v>
      </c>
      <c r="J98" s="172" t="s">
        <v>161</v>
      </c>
      <c r="K98" s="145">
        <v>2800</v>
      </c>
      <c r="L98" s="14" t="s">
        <v>258</v>
      </c>
      <c r="M98" s="14">
        <v>2013</v>
      </c>
      <c r="N98" s="172">
        <v>5</v>
      </c>
      <c r="O98" s="172"/>
      <c r="P98" s="166"/>
      <c r="Q98" s="166"/>
      <c r="R98" s="171" t="s">
        <v>4</v>
      </c>
      <c r="S98" s="31">
        <v>1517.29493</v>
      </c>
      <c r="T98" s="23">
        <f t="shared" si="12"/>
        <v>1514.4949300000001</v>
      </c>
      <c r="U98" s="23">
        <v>1514.4949300000001</v>
      </c>
      <c r="V98" s="23"/>
      <c r="W98" s="23">
        <f t="shared" si="13"/>
        <v>1964.93373</v>
      </c>
      <c r="X98" s="23">
        <v>1964.93373</v>
      </c>
      <c r="Y98" s="23"/>
      <c r="Z98" s="28">
        <f t="shared" si="14"/>
        <v>450.4387999999999</v>
      </c>
      <c r="AA98" s="31">
        <f t="shared" si="10"/>
        <v>450.4387999999999</v>
      </c>
      <c r="AB98" s="28">
        <f t="shared" si="10"/>
        <v>0</v>
      </c>
      <c r="AC98" s="5">
        <f t="shared" si="11"/>
        <v>835.06627000000003</v>
      </c>
      <c r="AE98" s="5"/>
      <c r="AG98" s="5">
        <f t="shared" si="15"/>
        <v>-450.4387999999999</v>
      </c>
      <c r="AH98" s="9">
        <f>[1]TDSheet!$J$4321</f>
        <v>2136.94</v>
      </c>
      <c r="AI98" s="5">
        <f t="shared" si="16"/>
        <v>-663.06</v>
      </c>
    </row>
    <row r="99" spans="1:35" ht="15.75">
      <c r="A99" s="134">
        <v>69</v>
      </c>
      <c r="B99" s="172" t="s">
        <v>162</v>
      </c>
      <c r="C99" s="106">
        <v>2423961</v>
      </c>
      <c r="D99" s="158" t="s">
        <v>62</v>
      </c>
      <c r="E99" s="172"/>
      <c r="F99" s="172">
        <v>876</v>
      </c>
      <c r="G99" s="172" t="s">
        <v>294</v>
      </c>
      <c r="H99" s="172">
        <v>1</v>
      </c>
      <c r="I99" s="144" t="s">
        <v>274</v>
      </c>
      <c r="J99" s="172" t="s">
        <v>161</v>
      </c>
      <c r="K99" s="145">
        <v>215.42</v>
      </c>
      <c r="L99" s="14" t="s">
        <v>258</v>
      </c>
      <c r="M99" s="14">
        <v>2013</v>
      </c>
      <c r="N99" s="172">
        <v>5</v>
      </c>
      <c r="O99" s="172"/>
      <c r="P99" s="166"/>
      <c r="Q99" s="166"/>
      <c r="R99" s="171" t="s">
        <v>4</v>
      </c>
      <c r="S99" s="31">
        <v>56.717010000000002</v>
      </c>
      <c r="T99" s="23">
        <f t="shared" si="12"/>
        <v>56.717010000000002</v>
      </c>
      <c r="U99" s="23">
        <v>56.717010000000002</v>
      </c>
      <c r="V99" s="23"/>
      <c r="W99" s="23">
        <f t="shared" si="13"/>
        <v>56.717010000000002</v>
      </c>
      <c r="X99" s="23">
        <v>56.717010000000002</v>
      </c>
      <c r="Y99" s="23"/>
      <c r="Z99" s="28">
        <f t="shared" si="14"/>
        <v>0</v>
      </c>
      <c r="AA99" s="31">
        <f t="shared" si="10"/>
        <v>0</v>
      </c>
      <c r="AB99" s="28">
        <f t="shared" si="10"/>
        <v>0</v>
      </c>
      <c r="AC99" s="5">
        <f t="shared" si="11"/>
        <v>158.70299</v>
      </c>
      <c r="AE99" s="5"/>
      <c r="AG99" s="5">
        <f t="shared" si="15"/>
        <v>0</v>
      </c>
      <c r="AH99" s="9"/>
      <c r="AI99" s="5">
        <f t="shared" si="16"/>
        <v>-215.42</v>
      </c>
    </row>
    <row r="100" spans="1:35" ht="31.5">
      <c r="A100" s="134">
        <v>70</v>
      </c>
      <c r="B100" s="172" t="s">
        <v>162</v>
      </c>
      <c r="C100" s="106">
        <v>2421720</v>
      </c>
      <c r="D100" s="158" t="s">
        <v>63</v>
      </c>
      <c r="E100" s="172" t="s">
        <v>182</v>
      </c>
      <c r="F100" s="172">
        <v>876</v>
      </c>
      <c r="G100" s="172" t="s">
        <v>294</v>
      </c>
      <c r="H100" s="172">
        <v>1</v>
      </c>
      <c r="I100" s="144" t="s">
        <v>274</v>
      </c>
      <c r="J100" s="172" t="s">
        <v>161</v>
      </c>
      <c r="K100" s="145">
        <v>263.92</v>
      </c>
      <c r="L100" s="14" t="s">
        <v>258</v>
      </c>
      <c r="M100" s="14">
        <v>2013</v>
      </c>
      <c r="N100" s="172">
        <v>6</v>
      </c>
      <c r="O100" s="172"/>
      <c r="P100" s="166"/>
      <c r="Q100" s="166"/>
      <c r="R100" s="171" t="s">
        <v>4</v>
      </c>
      <c r="S100" s="31"/>
      <c r="T100" s="23">
        <f t="shared" si="12"/>
        <v>0</v>
      </c>
      <c r="U100" s="23"/>
      <c r="V100" s="23"/>
      <c r="W100" s="23">
        <f t="shared" si="13"/>
        <v>0</v>
      </c>
      <c r="X100" s="23"/>
      <c r="Y100" s="23"/>
      <c r="Z100" s="28">
        <f t="shared" si="14"/>
        <v>0</v>
      </c>
      <c r="AA100" s="31">
        <f t="shared" si="10"/>
        <v>0</v>
      </c>
      <c r="AB100" s="28">
        <f t="shared" si="10"/>
        <v>0</v>
      </c>
      <c r="AC100" s="5">
        <f t="shared" si="11"/>
        <v>263.92</v>
      </c>
      <c r="AE100" s="5">
        <f>K100-AC100</f>
        <v>0</v>
      </c>
      <c r="AG100" s="5">
        <f t="shared" si="15"/>
        <v>0</v>
      </c>
      <c r="AH100" s="9"/>
      <c r="AI100" s="5">
        <f t="shared" si="16"/>
        <v>-263.92</v>
      </c>
    </row>
    <row r="101" spans="1:35" ht="15.75">
      <c r="A101" s="134">
        <v>71</v>
      </c>
      <c r="B101" s="172" t="s">
        <v>162</v>
      </c>
      <c r="C101" s="106">
        <v>2200000</v>
      </c>
      <c r="D101" s="158" t="s">
        <v>64</v>
      </c>
      <c r="E101" s="172"/>
      <c r="F101" s="172">
        <v>876</v>
      </c>
      <c r="G101" s="172" t="s">
        <v>294</v>
      </c>
      <c r="H101" s="172">
        <v>1</v>
      </c>
      <c r="I101" s="144" t="s">
        <v>274</v>
      </c>
      <c r="J101" s="172" t="s">
        <v>161</v>
      </c>
      <c r="K101" s="145">
        <f>55*5*1.2</f>
        <v>330</v>
      </c>
      <c r="L101" s="14" t="s">
        <v>258</v>
      </c>
      <c r="M101" s="14">
        <v>2013</v>
      </c>
      <c r="N101" s="172">
        <v>6</v>
      </c>
      <c r="O101" s="172"/>
      <c r="P101" s="166"/>
      <c r="Q101" s="166"/>
      <c r="R101" s="171" t="s">
        <v>4</v>
      </c>
      <c r="S101" s="31">
        <v>16</v>
      </c>
      <c r="T101" s="23">
        <f t="shared" si="12"/>
        <v>0</v>
      </c>
      <c r="U101" s="23">
        <v>0</v>
      </c>
      <c r="V101" s="23"/>
      <c r="W101" s="23">
        <f t="shared" si="13"/>
        <v>16</v>
      </c>
      <c r="X101" s="23">
        <v>16</v>
      </c>
      <c r="Y101" s="23"/>
      <c r="Z101" s="28">
        <f t="shared" si="14"/>
        <v>16</v>
      </c>
      <c r="AA101" s="31">
        <f t="shared" si="10"/>
        <v>16</v>
      </c>
      <c r="AB101" s="28">
        <f t="shared" si="10"/>
        <v>0</v>
      </c>
      <c r="AC101" s="5">
        <f t="shared" si="11"/>
        <v>314</v>
      </c>
      <c r="AE101" s="5"/>
      <c r="AG101" s="5">
        <f t="shared" si="15"/>
        <v>-16</v>
      </c>
      <c r="AH101" s="9"/>
      <c r="AI101" s="5">
        <f t="shared" si="16"/>
        <v>-330</v>
      </c>
    </row>
    <row r="102" spans="1:35" ht="15.75">
      <c r="A102" s="134">
        <v>72</v>
      </c>
      <c r="B102" s="172" t="s">
        <v>162</v>
      </c>
      <c r="C102" s="106">
        <v>2200000</v>
      </c>
      <c r="D102" s="135" t="s">
        <v>65</v>
      </c>
      <c r="E102" s="172"/>
      <c r="F102" s="172">
        <v>876</v>
      </c>
      <c r="G102" s="172" t="s">
        <v>294</v>
      </c>
      <c r="H102" s="172">
        <v>1</v>
      </c>
      <c r="I102" s="144" t="s">
        <v>274</v>
      </c>
      <c r="J102" s="172" t="s">
        <v>161</v>
      </c>
      <c r="K102" s="145">
        <v>200</v>
      </c>
      <c r="L102" s="14" t="s">
        <v>258</v>
      </c>
      <c r="M102" s="14">
        <v>2013</v>
      </c>
      <c r="N102" s="172">
        <v>6</v>
      </c>
      <c r="O102" s="172"/>
      <c r="P102" s="166"/>
      <c r="Q102" s="166"/>
      <c r="R102" s="171" t="s">
        <v>6</v>
      </c>
      <c r="S102" s="31">
        <v>65.186999999999998</v>
      </c>
      <c r="T102" s="23">
        <f t="shared" si="12"/>
        <v>65.186999999999998</v>
      </c>
      <c r="U102" s="23">
        <v>65.186999999999998</v>
      </c>
      <c r="V102" s="23"/>
      <c r="W102" s="23">
        <f t="shared" si="13"/>
        <v>112.29075</v>
      </c>
      <c r="X102" s="23">
        <v>112.29075</v>
      </c>
      <c r="Y102" s="23"/>
      <c r="Z102" s="28">
        <f t="shared" si="14"/>
        <v>47.103750000000005</v>
      </c>
      <c r="AA102" s="31">
        <f t="shared" si="10"/>
        <v>47.103750000000005</v>
      </c>
      <c r="AB102" s="28">
        <f t="shared" si="10"/>
        <v>0</v>
      </c>
      <c r="AC102" s="5">
        <f t="shared" si="11"/>
        <v>87.709249999999997</v>
      </c>
      <c r="AE102" s="5"/>
      <c r="AG102" s="5">
        <f t="shared" si="15"/>
        <v>-47.103750000000005</v>
      </c>
      <c r="AH102" s="9"/>
      <c r="AI102" s="5">
        <f t="shared" si="16"/>
        <v>-200</v>
      </c>
    </row>
    <row r="103" spans="1:35" ht="15.75">
      <c r="A103" s="134">
        <v>73</v>
      </c>
      <c r="B103" s="172" t="s">
        <v>162</v>
      </c>
      <c r="C103" s="106">
        <v>4110100</v>
      </c>
      <c r="D103" s="158" t="s">
        <v>66</v>
      </c>
      <c r="E103" s="172" t="s">
        <v>198</v>
      </c>
      <c r="F103" s="172">
        <v>876</v>
      </c>
      <c r="G103" s="172" t="s">
        <v>294</v>
      </c>
      <c r="H103" s="172">
        <v>1</v>
      </c>
      <c r="I103" s="144" t="s">
        <v>274</v>
      </c>
      <c r="J103" s="172" t="s">
        <v>161</v>
      </c>
      <c r="K103" s="145">
        <f>100*12*140*1.3/1000</f>
        <v>218.4</v>
      </c>
      <c r="L103" s="14" t="s">
        <v>258</v>
      </c>
      <c r="M103" s="14">
        <v>2013</v>
      </c>
      <c r="N103" s="172">
        <v>6</v>
      </c>
      <c r="O103" s="172"/>
      <c r="P103" s="166"/>
      <c r="Q103" s="166"/>
      <c r="R103" s="171" t="s">
        <v>6</v>
      </c>
      <c r="S103" s="31">
        <v>7.63</v>
      </c>
      <c r="T103" s="23">
        <f t="shared" si="12"/>
        <v>7.05</v>
      </c>
      <c r="U103" s="23">
        <v>7.05</v>
      </c>
      <c r="V103" s="23"/>
      <c r="W103" s="23">
        <f t="shared" si="13"/>
        <v>7.63</v>
      </c>
      <c r="X103" s="23">
        <v>7.63</v>
      </c>
      <c r="Y103" s="23"/>
      <c r="Z103" s="28">
        <f t="shared" si="14"/>
        <v>0.58000000000000007</v>
      </c>
      <c r="AA103" s="31">
        <f t="shared" si="10"/>
        <v>0.58000000000000007</v>
      </c>
      <c r="AB103" s="28">
        <f t="shared" si="10"/>
        <v>0</v>
      </c>
      <c r="AC103" s="5">
        <f t="shared" si="11"/>
        <v>210.77</v>
      </c>
      <c r="AE103" s="5"/>
      <c r="AG103" s="5">
        <f t="shared" si="15"/>
        <v>-0.58000000000000007</v>
      </c>
      <c r="AH103" s="9"/>
      <c r="AI103" s="5">
        <f t="shared" si="16"/>
        <v>-218.4</v>
      </c>
    </row>
    <row r="104" spans="1:35" ht="15.75">
      <c r="A104" s="134">
        <v>74</v>
      </c>
      <c r="B104" s="172" t="s">
        <v>162</v>
      </c>
      <c r="C104" s="106">
        <v>9319000</v>
      </c>
      <c r="D104" s="158" t="s">
        <v>96</v>
      </c>
      <c r="E104" s="172"/>
      <c r="F104" s="172">
        <v>876</v>
      </c>
      <c r="G104" s="172" t="s">
        <v>294</v>
      </c>
      <c r="H104" s="172">
        <v>1</v>
      </c>
      <c r="I104" s="144" t="s">
        <v>274</v>
      </c>
      <c r="J104" s="172" t="s">
        <v>161</v>
      </c>
      <c r="K104" s="145">
        <f>S104</f>
        <v>9.93</v>
      </c>
      <c r="L104" s="14" t="s">
        <v>258</v>
      </c>
      <c r="M104" s="14">
        <v>2013</v>
      </c>
      <c r="N104" s="172">
        <v>6</v>
      </c>
      <c r="O104" s="172"/>
      <c r="P104" s="166"/>
      <c r="Q104" s="166"/>
      <c r="R104" s="171" t="s">
        <v>6</v>
      </c>
      <c r="S104" s="80">
        <v>9.93</v>
      </c>
      <c r="T104" s="26">
        <f t="shared" si="12"/>
        <v>9.41</v>
      </c>
      <c r="U104" s="26">
        <v>0</v>
      </c>
      <c r="V104" s="26">
        <v>9.41</v>
      </c>
      <c r="W104" s="26">
        <f t="shared" si="13"/>
        <v>19.34</v>
      </c>
      <c r="X104" s="26">
        <v>9.93</v>
      </c>
      <c r="Y104" s="26">
        <v>9.41</v>
      </c>
      <c r="Z104" s="28">
        <f t="shared" si="14"/>
        <v>9.93</v>
      </c>
      <c r="AA104" s="31">
        <f t="shared" si="10"/>
        <v>9.93</v>
      </c>
      <c r="AB104" s="28">
        <f t="shared" si="10"/>
        <v>0</v>
      </c>
      <c r="AC104" s="5">
        <f t="shared" si="11"/>
        <v>0</v>
      </c>
      <c r="AE104" s="5"/>
      <c r="AG104" s="5">
        <f t="shared" si="15"/>
        <v>-9.93</v>
      </c>
      <c r="AH104" s="10"/>
      <c r="AI104" s="5">
        <f t="shared" si="16"/>
        <v>-9.93</v>
      </c>
    </row>
    <row r="105" spans="1:35" ht="15.75">
      <c r="A105" s="134">
        <v>75</v>
      </c>
      <c r="B105" s="172" t="s">
        <v>162</v>
      </c>
      <c r="C105" s="106">
        <v>7200000</v>
      </c>
      <c r="D105" s="158" t="s">
        <v>97</v>
      </c>
      <c r="E105" s="172"/>
      <c r="F105" s="172">
        <v>876</v>
      </c>
      <c r="G105" s="172" t="s">
        <v>294</v>
      </c>
      <c r="H105" s="172">
        <v>1</v>
      </c>
      <c r="I105" s="144" t="s">
        <v>274</v>
      </c>
      <c r="J105" s="172" t="s">
        <v>161</v>
      </c>
      <c r="K105" s="145">
        <f>S105</f>
        <v>6.58</v>
      </c>
      <c r="L105" s="14" t="s">
        <v>258</v>
      </c>
      <c r="M105" s="14">
        <v>2013</v>
      </c>
      <c r="N105" s="172">
        <v>6</v>
      </c>
      <c r="O105" s="172"/>
      <c r="P105" s="166"/>
      <c r="Q105" s="166"/>
      <c r="R105" s="171" t="s">
        <v>6</v>
      </c>
      <c r="S105" s="80">
        <v>6.58</v>
      </c>
      <c r="T105" s="26">
        <f t="shared" si="12"/>
        <v>0</v>
      </c>
      <c r="U105" s="26"/>
      <c r="V105" s="26"/>
      <c r="W105" s="26">
        <f t="shared" si="13"/>
        <v>0</v>
      </c>
      <c r="X105" s="26"/>
      <c r="Y105" s="26"/>
      <c r="Z105" s="28">
        <f t="shared" si="14"/>
        <v>0</v>
      </c>
      <c r="AA105" s="31">
        <f t="shared" si="10"/>
        <v>0</v>
      </c>
      <c r="AB105" s="28">
        <f t="shared" si="10"/>
        <v>0</v>
      </c>
      <c r="AC105" s="5">
        <f t="shared" si="11"/>
        <v>6.58</v>
      </c>
      <c r="AE105" s="5">
        <f>K105-AC105</f>
        <v>0</v>
      </c>
      <c r="AG105" s="5">
        <f t="shared" si="15"/>
        <v>0</v>
      </c>
      <c r="AH105" s="10"/>
      <c r="AI105" s="5">
        <f t="shared" si="16"/>
        <v>-6.58</v>
      </c>
    </row>
    <row r="106" spans="1:35" ht="15.75">
      <c r="A106" s="134">
        <v>76</v>
      </c>
      <c r="B106" s="172" t="s">
        <v>162</v>
      </c>
      <c r="C106" s="106">
        <v>7523040</v>
      </c>
      <c r="D106" s="158" t="s">
        <v>98</v>
      </c>
      <c r="E106" s="172" t="s">
        <v>199</v>
      </c>
      <c r="F106" s="172">
        <v>876</v>
      </c>
      <c r="G106" s="172" t="s">
        <v>294</v>
      </c>
      <c r="H106" s="172">
        <v>1</v>
      </c>
      <c r="I106" s="144" t="s">
        <v>274</v>
      </c>
      <c r="J106" s="172" t="s">
        <v>161</v>
      </c>
      <c r="K106" s="145">
        <v>30</v>
      </c>
      <c r="L106" s="14" t="s">
        <v>258</v>
      </c>
      <c r="M106" s="14">
        <v>2013</v>
      </c>
      <c r="N106" s="172">
        <v>6</v>
      </c>
      <c r="O106" s="172"/>
      <c r="P106" s="166"/>
      <c r="Q106" s="166"/>
      <c r="R106" s="171" t="s">
        <v>4</v>
      </c>
      <c r="S106" s="80">
        <v>6</v>
      </c>
      <c r="T106" s="26">
        <f t="shared" si="12"/>
        <v>3</v>
      </c>
      <c r="U106" s="26">
        <v>3</v>
      </c>
      <c r="V106" s="26"/>
      <c r="W106" s="26">
        <f t="shared" si="13"/>
        <v>7.5</v>
      </c>
      <c r="X106" s="26">
        <v>7.5</v>
      </c>
      <c r="Y106" s="26"/>
      <c r="Z106" s="28">
        <f t="shared" si="14"/>
        <v>4.5</v>
      </c>
      <c r="AA106" s="31">
        <f t="shared" si="10"/>
        <v>4.5</v>
      </c>
      <c r="AB106" s="28">
        <f t="shared" si="10"/>
        <v>0</v>
      </c>
      <c r="AC106" s="5">
        <f t="shared" si="11"/>
        <v>22.5</v>
      </c>
      <c r="AE106" s="5"/>
      <c r="AG106" s="5">
        <f t="shared" si="15"/>
        <v>-4.5</v>
      </c>
      <c r="AH106" s="10"/>
      <c r="AI106" s="5">
        <f t="shared" si="16"/>
        <v>-30</v>
      </c>
    </row>
    <row r="107" spans="1:35" ht="15.75">
      <c r="A107" s="134">
        <v>77</v>
      </c>
      <c r="B107" s="172" t="s">
        <v>162</v>
      </c>
      <c r="C107" s="106">
        <v>5520010</v>
      </c>
      <c r="D107" s="158" t="s">
        <v>99</v>
      </c>
      <c r="E107" s="172" t="s">
        <v>200</v>
      </c>
      <c r="F107" s="172">
        <v>876</v>
      </c>
      <c r="G107" s="172" t="s">
        <v>294</v>
      </c>
      <c r="H107" s="172">
        <v>1</v>
      </c>
      <c r="I107" s="144" t="s">
        <v>274</v>
      </c>
      <c r="J107" s="172" t="s">
        <v>161</v>
      </c>
      <c r="K107" s="145">
        <f>S107</f>
        <v>85</v>
      </c>
      <c r="L107" s="14" t="s">
        <v>258</v>
      </c>
      <c r="M107" s="14">
        <v>2013</v>
      </c>
      <c r="N107" s="172">
        <v>6</v>
      </c>
      <c r="O107" s="172"/>
      <c r="P107" s="166"/>
      <c r="Q107" s="166"/>
      <c r="R107" s="171" t="s">
        <v>6</v>
      </c>
      <c r="S107" s="80">
        <v>85</v>
      </c>
      <c r="T107" s="26">
        <f t="shared" si="12"/>
        <v>85</v>
      </c>
      <c r="U107" s="26">
        <v>85</v>
      </c>
      <c r="V107" s="26"/>
      <c r="W107" s="26">
        <f t="shared" si="13"/>
        <v>85</v>
      </c>
      <c r="X107" s="26">
        <v>85</v>
      </c>
      <c r="Y107" s="26"/>
      <c r="Z107" s="28">
        <f t="shared" si="14"/>
        <v>0</v>
      </c>
      <c r="AA107" s="31">
        <f t="shared" si="10"/>
        <v>0</v>
      </c>
      <c r="AB107" s="28">
        <f t="shared" si="10"/>
        <v>0</v>
      </c>
      <c r="AC107" s="5">
        <f t="shared" si="11"/>
        <v>0</v>
      </c>
      <c r="AE107" s="5"/>
      <c r="AG107" s="5">
        <f t="shared" si="15"/>
        <v>0</v>
      </c>
      <c r="AH107" s="10"/>
      <c r="AI107" s="5">
        <f t="shared" si="16"/>
        <v>-85</v>
      </c>
    </row>
    <row r="108" spans="1:35" ht="47.25">
      <c r="A108" s="134">
        <v>78</v>
      </c>
      <c r="B108" s="172" t="s">
        <v>162</v>
      </c>
      <c r="C108" s="106">
        <v>4530019</v>
      </c>
      <c r="D108" s="158" t="s">
        <v>100</v>
      </c>
      <c r="E108" s="172" t="s">
        <v>201</v>
      </c>
      <c r="F108" s="172">
        <v>876</v>
      </c>
      <c r="G108" s="172" t="s">
        <v>294</v>
      </c>
      <c r="H108" s="172">
        <v>1</v>
      </c>
      <c r="I108" s="144" t="s">
        <v>274</v>
      </c>
      <c r="J108" s="172" t="s">
        <v>161</v>
      </c>
      <c r="K108" s="145">
        <f>S108</f>
        <v>12.85</v>
      </c>
      <c r="L108" s="14" t="s">
        <v>258</v>
      </c>
      <c r="M108" s="14">
        <v>2013</v>
      </c>
      <c r="N108" s="172">
        <v>6</v>
      </c>
      <c r="O108" s="172"/>
      <c r="P108" s="166"/>
      <c r="Q108" s="166"/>
      <c r="R108" s="171" t="s">
        <v>6</v>
      </c>
      <c r="S108" s="80">
        <v>12.85</v>
      </c>
      <c r="T108" s="26">
        <f t="shared" si="12"/>
        <v>12.85</v>
      </c>
      <c r="U108" s="26">
        <v>12.85</v>
      </c>
      <c r="V108" s="26"/>
      <c r="W108" s="26">
        <f t="shared" si="13"/>
        <v>12.85</v>
      </c>
      <c r="X108" s="26">
        <v>12.85</v>
      </c>
      <c r="Y108" s="26"/>
      <c r="Z108" s="28">
        <f t="shared" si="14"/>
        <v>0</v>
      </c>
      <c r="AA108" s="31">
        <f t="shared" si="10"/>
        <v>0</v>
      </c>
      <c r="AB108" s="28">
        <f t="shared" si="10"/>
        <v>0</v>
      </c>
      <c r="AC108" s="5">
        <f t="shared" si="11"/>
        <v>0</v>
      </c>
      <c r="AE108" s="5"/>
      <c r="AG108" s="5">
        <f t="shared" si="15"/>
        <v>0</v>
      </c>
      <c r="AH108" s="10"/>
      <c r="AI108" s="5">
        <f t="shared" si="16"/>
        <v>-12.85</v>
      </c>
    </row>
    <row r="109" spans="1:35" ht="21.75" customHeight="1">
      <c r="A109" s="134">
        <v>79</v>
      </c>
      <c r="B109" s="172" t="s">
        <v>162</v>
      </c>
      <c r="C109" s="106">
        <v>7250030</v>
      </c>
      <c r="D109" s="158" t="s">
        <v>268</v>
      </c>
      <c r="E109" s="172" t="s">
        <v>202</v>
      </c>
      <c r="F109" s="172">
        <v>876</v>
      </c>
      <c r="G109" s="172" t="s">
        <v>294</v>
      </c>
      <c r="H109" s="172">
        <v>1</v>
      </c>
      <c r="I109" s="144" t="s">
        <v>274</v>
      </c>
      <c r="J109" s="172" t="s">
        <v>161</v>
      </c>
      <c r="K109" s="145">
        <v>180</v>
      </c>
      <c r="L109" s="14" t="s">
        <v>258</v>
      </c>
      <c r="M109" s="14">
        <v>2013</v>
      </c>
      <c r="N109" s="172">
        <v>6</v>
      </c>
      <c r="O109" s="172"/>
      <c r="P109" s="166"/>
      <c r="Q109" s="166"/>
      <c r="R109" s="171" t="s">
        <v>4</v>
      </c>
      <c r="S109" s="80">
        <v>22.6</v>
      </c>
      <c r="T109" s="26">
        <f t="shared" si="12"/>
        <v>22.900000000000002</v>
      </c>
      <c r="U109" s="26">
        <v>22.6</v>
      </c>
      <c r="V109" s="26">
        <v>0.3</v>
      </c>
      <c r="W109" s="26">
        <f t="shared" si="13"/>
        <v>34.760000000000005</v>
      </c>
      <c r="X109" s="26">
        <v>33.92</v>
      </c>
      <c r="Y109" s="26">
        <v>0.84</v>
      </c>
      <c r="Z109" s="28">
        <f t="shared" si="14"/>
        <v>11.86</v>
      </c>
      <c r="AA109" s="31">
        <f t="shared" si="10"/>
        <v>11.32</v>
      </c>
      <c r="AB109" s="28">
        <f t="shared" si="10"/>
        <v>0.54</v>
      </c>
      <c r="AC109" s="5">
        <f t="shared" si="11"/>
        <v>146.07999999999998</v>
      </c>
      <c r="AE109" s="5"/>
      <c r="AG109" s="5">
        <f t="shared" si="15"/>
        <v>-11.32</v>
      </c>
      <c r="AH109" s="10">
        <f>[1]TDSheet!$J$2771</f>
        <v>148.09</v>
      </c>
      <c r="AI109" s="5">
        <f t="shared" si="16"/>
        <v>-31.909999999999997</v>
      </c>
    </row>
    <row r="110" spans="1:35" ht="47.25">
      <c r="A110" s="134">
        <v>80</v>
      </c>
      <c r="B110" s="172" t="s">
        <v>162</v>
      </c>
      <c r="C110" s="106">
        <v>7499090</v>
      </c>
      <c r="D110" s="158" t="s">
        <v>101</v>
      </c>
      <c r="E110" s="172" t="s">
        <v>203</v>
      </c>
      <c r="F110" s="172">
        <v>876</v>
      </c>
      <c r="G110" s="172" t="s">
        <v>294</v>
      </c>
      <c r="H110" s="172">
        <v>1</v>
      </c>
      <c r="I110" s="144" t="s">
        <v>274</v>
      </c>
      <c r="J110" s="172" t="s">
        <v>161</v>
      </c>
      <c r="K110" s="145">
        <v>65</v>
      </c>
      <c r="L110" s="14" t="s">
        <v>258</v>
      </c>
      <c r="M110" s="14">
        <v>2013</v>
      </c>
      <c r="N110" s="172">
        <v>6</v>
      </c>
      <c r="O110" s="172"/>
      <c r="P110" s="166"/>
      <c r="Q110" s="166"/>
      <c r="R110" s="171" t="s">
        <v>6</v>
      </c>
      <c r="S110" s="80">
        <v>58.28</v>
      </c>
      <c r="T110" s="26">
        <f t="shared" si="12"/>
        <v>58.28</v>
      </c>
      <c r="U110" s="26">
        <v>58.28</v>
      </c>
      <c r="V110" s="26"/>
      <c r="W110" s="26">
        <f t="shared" si="13"/>
        <v>62.130360000000003</v>
      </c>
      <c r="X110" s="26">
        <v>62.130360000000003</v>
      </c>
      <c r="Y110" s="26"/>
      <c r="Z110" s="28">
        <f t="shared" si="14"/>
        <v>3.850360000000002</v>
      </c>
      <c r="AA110" s="31">
        <f t="shared" si="10"/>
        <v>3.850360000000002</v>
      </c>
      <c r="AB110" s="28">
        <f t="shared" si="10"/>
        <v>0</v>
      </c>
      <c r="AC110" s="5">
        <f t="shared" si="11"/>
        <v>2.8696399999999969</v>
      </c>
      <c r="AE110" s="5"/>
      <c r="AG110" s="5">
        <f t="shared" si="15"/>
        <v>-3.850360000000002</v>
      </c>
      <c r="AH110" s="10"/>
      <c r="AI110" s="5">
        <f t="shared" si="16"/>
        <v>-65</v>
      </c>
    </row>
    <row r="111" spans="1:35" ht="31.5">
      <c r="A111" s="134">
        <v>81</v>
      </c>
      <c r="B111" s="172" t="s">
        <v>162</v>
      </c>
      <c r="C111" s="106">
        <v>7230010</v>
      </c>
      <c r="D111" s="158" t="s">
        <v>102</v>
      </c>
      <c r="E111" s="172" t="s">
        <v>204</v>
      </c>
      <c r="F111" s="172">
        <v>876</v>
      </c>
      <c r="G111" s="172" t="s">
        <v>294</v>
      </c>
      <c r="H111" s="172">
        <v>1</v>
      </c>
      <c r="I111" s="144" t="s">
        <v>274</v>
      </c>
      <c r="J111" s="172" t="s">
        <v>161</v>
      </c>
      <c r="K111" s="145">
        <f>S111*4</f>
        <v>251.16731999999999</v>
      </c>
      <c r="L111" s="14" t="s">
        <v>258</v>
      </c>
      <c r="M111" s="14">
        <v>2013</v>
      </c>
      <c r="N111" s="172">
        <v>6</v>
      </c>
      <c r="O111" s="172"/>
      <c r="P111" s="166"/>
      <c r="Q111" s="166"/>
      <c r="R111" s="171" t="s">
        <v>4</v>
      </c>
      <c r="S111" s="80">
        <v>62.791829999999997</v>
      </c>
      <c r="T111" s="26">
        <f t="shared" si="12"/>
        <v>22.33991</v>
      </c>
      <c r="U111" s="26">
        <v>22.33991</v>
      </c>
      <c r="V111" s="26"/>
      <c r="W111" s="26">
        <f t="shared" si="13"/>
        <v>62.791829999999997</v>
      </c>
      <c r="X111" s="26">
        <v>62.791829999999997</v>
      </c>
      <c r="Y111" s="26"/>
      <c r="Z111" s="28">
        <f t="shared" si="14"/>
        <v>40.451920000000001</v>
      </c>
      <c r="AA111" s="31">
        <f t="shared" si="10"/>
        <v>40.451920000000001</v>
      </c>
      <c r="AB111" s="28">
        <f t="shared" si="10"/>
        <v>0</v>
      </c>
      <c r="AC111" s="5">
        <f t="shared" si="11"/>
        <v>188.37548999999999</v>
      </c>
      <c r="AE111" s="5"/>
      <c r="AG111" s="5">
        <f t="shared" si="15"/>
        <v>-40.451920000000001</v>
      </c>
      <c r="AH111" s="10"/>
      <c r="AI111" s="5">
        <f t="shared" si="16"/>
        <v>-251.16731999999999</v>
      </c>
    </row>
    <row r="112" spans="1:35" ht="47.25">
      <c r="A112" s="134">
        <v>82</v>
      </c>
      <c r="B112" s="172" t="s">
        <v>162</v>
      </c>
      <c r="C112" s="106">
        <v>8511000</v>
      </c>
      <c r="D112" s="158" t="s">
        <v>103</v>
      </c>
      <c r="E112" s="172" t="s">
        <v>205</v>
      </c>
      <c r="F112" s="172">
        <v>876</v>
      </c>
      <c r="G112" s="172" t="s">
        <v>294</v>
      </c>
      <c r="H112" s="172">
        <v>1</v>
      </c>
      <c r="I112" s="144" t="s">
        <v>274</v>
      </c>
      <c r="J112" s="172" t="s">
        <v>161</v>
      </c>
      <c r="K112" s="145">
        <f>747.57+180</f>
        <v>927.57</v>
      </c>
      <c r="L112" s="14" t="s">
        <v>258</v>
      </c>
      <c r="M112" s="14">
        <v>2013</v>
      </c>
      <c r="N112" s="172">
        <v>6</v>
      </c>
      <c r="O112" s="172"/>
      <c r="P112" s="166"/>
      <c r="Q112" s="166"/>
      <c r="R112" s="171" t="s">
        <v>4</v>
      </c>
      <c r="S112" s="82">
        <v>186.89332999999999</v>
      </c>
      <c r="T112" s="10">
        <f t="shared" si="12"/>
        <v>293.41766000000001</v>
      </c>
      <c r="U112" s="10">
        <v>74.717079999999996</v>
      </c>
      <c r="V112" s="10">
        <v>218.70058</v>
      </c>
      <c r="W112" s="10">
        <f t="shared" si="13"/>
        <v>612.87977999999998</v>
      </c>
      <c r="X112" s="10">
        <v>221.81321</v>
      </c>
      <c r="Y112" s="10">
        <v>391.06657000000001</v>
      </c>
      <c r="Z112" s="28">
        <f t="shared" si="14"/>
        <v>319.46212000000003</v>
      </c>
      <c r="AA112" s="31">
        <f t="shared" si="10"/>
        <v>147.09613000000002</v>
      </c>
      <c r="AB112" s="28">
        <f t="shared" si="10"/>
        <v>172.36599000000001</v>
      </c>
      <c r="AC112" s="5">
        <f t="shared" si="11"/>
        <v>705.75679000000002</v>
      </c>
      <c r="AE112" s="5"/>
      <c r="AG112" s="5">
        <f t="shared" si="15"/>
        <v>-147.09613000000002</v>
      </c>
      <c r="AH112" s="10">
        <f>[1]TDSheet!$J$1526</f>
        <v>798.77</v>
      </c>
      <c r="AI112" s="5">
        <f t="shared" si="16"/>
        <v>-128.80000000000007</v>
      </c>
    </row>
    <row r="113" spans="1:35" ht="15.75">
      <c r="A113" s="134">
        <v>83</v>
      </c>
      <c r="B113" s="172" t="s">
        <v>162</v>
      </c>
      <c r="C113" s="106">
        <v>8090000</v>
      </c>
      <c r="D113" s="158" t="s">
        <v>11</v>
      </c>
      <c r="E113" s="172" t="s">
        <v>206</v>
      </c>
      <c r="F113" s="172">
        <v>876</v>
      </c>
      <c r="G113" s="172" t="s">
        <v>294</v>
      </c>
      <c r="H113" s="172">
        <v>1</v>
      </c>
      <c r="I113" s="144" t="s">
        <v>274</v>
      </c>
      <c r="J113" s="172" t="s">
        <v>161</v>
      </c>
      <c r="K113" s="145">
        <f>S113*2</f>
        <v>306.56</v>
      </c>
      <c r="L113" s="14" t="s">
        <v>258</v>
      </c>
      <c r="M113" s="14">
        <v>2013</v>
      </c>
      <c r="N113" s="172">
        <v>6</v>
      </c>
      <c r="O113" s="172"/>
      <c r="P113" s="166"/>
      <c r="Q113" s="166"/>
      <c r="R113" s="171" t="s">
        <v>4</v>
      </c>
      <c r="S113" s="80">
        <v>153.28</v>
      </c>
      <c r="T113" s="26">
        <f t="shared" si="12"/>
        <v>0</v>
      </c>
      <c r="U113" s="26">
        <v>0</v>
      </c>
      <c r="V113" s="26"/>
      <c r="W113" s="26">
        <f t="shared" si="13"/>
        <v>153.2804299999998</v>
      </c>
      <c r="X113" s="26">
        <f>3635.89743-3482.617</f>
        <v>153.2804299999998</v>
      </c>
      <c r="Y113" s="26"/>
      <c r="Z113" s="28">
        <f t="shared" si="14"/>
        <v>153.2804299999998</v>
      </c>
      <c r="AA113" s="31">
        <f t="shared" si="10"/>
        <v>153.2804299999998</v>
      </c>
      <c r="AB113" s="28">
        <f t="shared" si="10"/>
        <v>0</v>
      </c>
      <c r="AC113" s="5">
        <f t="shared" si="11"/>
        <v>153.27957000000021</v>
      </c>
      <c r="AE113" s="5"/>
      <c r="AG113" s="5">
        <f t="shared" si="15"/>
        <v>-153.2804299999998</v>
      </c>
      <c r="AH113" s="10">
        <f>[1]TDSheet!$J$2204-[1]TDSheet!$J$2218+[1]TDSheet!$J$2787</f>
        <v>283.61</v>
      </c>
      <c r="AI113" s="5">
        <f t="shared" si="16"/>
        <v>-22.949999999999989</v>
      </c>
    </row>
    <row r="114" spans="1:35" ht="31.5">
      <c r="A114" s="134">
        <v>84</v>
      </c>
      <c r="B114" s="172" t="s">
        <v>162</v>
      </c>
      <c r="C114" s="106">
        <v>7530000</v>
      </c>
      <c r="D114" s="158" t="s">
        <v>105</v>
      </c>
      <c r="E114" s="172" t="s">
        <v>207</v>
      </c>
      <c r="F114" s="172">
        <v>876</v>
      </c>
      <c r="G114" s="172" t="s">
        <v>294</v>
      </c>
      <c r="H114" s="172">
        <v>1</v>
      </c>
      <c r="I114" s="144" t="s">
        <v>274</v>
      </c>
      <c r="J114" s="172" t="s">
        <v>161</v>
      </c>
      <c r="K114" s="145">
        <f>'[2]Форма 1 (скорект)'!$H$112</f>
        <v>1893</v>
      </c>
      <c r="L114" s="14" t="s">
        <v>258</v>
      </c>
      <c r="M114" s="14">
        <v>2013</v>
      </c>
      <c r="N114" s="172">
        <v>6</v>
      </c>
      <c r="O114" s="172"/>
      <c r="P114" s="166"/>
      <c r="Q114" s="166"/>
      <c r="R114" s="171" t="s">
        <v>4</v>
      </c>
      <c r="S114" s="80">
        <v>574.27705000000003</v>
      </c>
      <c r="T114" s="26">
        <f t="shared" si="12"/>
        <v>198.70191</v>
      </c>
      <c r="U114" s="26">
        <v>194.46966</v>
      </c>
      <c r="V114" s="26">
        <v>4.2322499999999996</v>
      </c>
      <c r="W114" s="26">
        <f t="shared" si="13"/>
        <v>687.15886</v>
      </c>
      <c r="X114" s="26">
        <v>679.64611000000002</v>
      </c>
      <c r="Y114" s="26">
        <v>7.5127499999999996</v>
      </c>
      <c r="Z114" s="28">
        <f t="shared" si="14"/>
        <v>488.45695000000006</v>
      </c>
      <c r="AA114" s="31">
        <f t="shared" si="10"/>
        <v>485.17645000000005</v>
      </c>
      <c r="AB114" s="28">
        <f t="shared" si="10"/>
        <v>3.2805</v>
      </c>
      <c r="AC114" s="5">
        <f t="shared" si="11"/>
        <v>1213.3538899999999</v>
      </c>
      <c r="AE114" s="5"/>
      <c r="AG114" s="5">
        <f t="shared" si="15"/>
        <v>-485.17645000000005</v>
      </c>
      <c r="AH114" s="10">
        <f>[1]TDSheet!$J$2223</f>
        <v>1691.29</v>
      </c>
      <c r="AI114" s="5">
        <f t="shared" si="16"/>
        <v>-201.71000000000004</v>
      </c>
    </row>
    <row r="115" spans="1:35" ht="31.5">
      <c r="A115" s="134">
        <v>85</v>
      </c>
      <c r="B115" s="172" t="s">
        <v>162</v>
      </c>
      <c r="C115" s="106">
        <v>6611030</v>
      </c>
      <c r="D115" s="158" t="s">
        <v>16</v>
      </c>
      <c r="E115" s="172" t="s">
        <v>207</v>
      </c>
      <c r="F115" s="172">
        <v>876</v>
      </c>
      <c r="G115" s="172" t="s">
        <v>294</v>
      </c>
      <c r="H115" s="172">
        <v>1</v>
      </c>
      <c r="I115" s="144" t="s">
        <v>274</v>
      </c>
      <c r="J115" s="172" t="s">
        <v>161</v>
      </c>
      <c r="K115" s="145">
        <f>544.25+500</f>
        <v>1044.25</v>
      </c>
      <c r="L115" s="14" t="s">
        <v>258</v>
      </c>
      <c r="M115" s="14">
        <v>2013</v>
      </c>
      <c r="N115" s="172">
        <v>6</v>
      </c>
      <c r="O115" s="172"/>
      <c r="P115" s="166"/>
      <c r="Q115" s="166"/>
      <c r="R115" s="171" t="s">
        <v>4</v>
      </c>
      <c r="S115" s="80">
        <v>309.53500000000003</v>
      </c>
      <c r="T115" s="26">
        <f t="shared" si="12"/>
        <v>301.07</v>
      </c>
      <c r="U115" s="26">
        <v>301.07</v>
      </c>
      <c r="V115" s="26"/>
      <c r="W115" s="26">
        <f t="shared" si="13"/>
        <v>309.53500000000003</v>
      </c>
      <c r="X115" s="26">
        <v>309.53500000000003</v>
      </c>
      <c r="Y115" s="26"/>
      <c r="Z115" s="28">
        <f t="shared" si="14"/>
        <v>8.4650000000000318</v>
      </c>
      <c r="AA115" s="31">
        <f t="shared" si="10"/>
        <v>8.4650000000000318</v>
      </c>
      <c r="AB115" s="28">
        <f t="shared" si="10"/>
        <v>0</v>
      </c>
      <c r="AC115" s="5">
        <f t="shared" si="11"/>
        <v>734.71499999999992</v>
      </c>
      <c r="AE115" s="5"/>
      <c r="AG115" s="5">
        <f t="shared" si="15"/>
        <v>-8.4650000000000318</v>
      </c>
      <c r="AH115" s="10">
        <f>[1]TDSheet!$J$2740</f>
        <v>874.68</v>
      </c>
      <c r="AI115" s="5">
        <f t="shared" si="16"/>
        <v>-169.57000000000005</v>
      </c>
    </row>
    <row r="116" spans="1:35" ht="31.5">
      <c r="A116" s="134">
        <v>86</v>
      </c>
      <c r="B116" s="172" t="s">
        <v>162</v>
      </c>
      <c r="C116" s="106">
        <v>6611020</v>
      </c>
      <c r="D116" s="158" t="s">
        <v>10</v>
      </c>
      <c r="E116" s="172" t="s">
        <v>207</v>
      </c>
      <c r="F116" s="172">
        <v>876</v>
      </c>
      <c r="G116" s="172" t="s">
        <v>294</v>
      </c>
      <c r="H116" s="172">
        <v>1</v>
      </c>
      <c r="I116" s="144" t="s">
        <v>274</v>
      </c>
      <c r="J116" s="172" t="s">
        <v>161</v>
      </c>
      <c r="K116" s="145">
        <f>'[2]Форма 1 (скорект)'!$H$111</f>
        <v>874.8</v>
      </c>
      <c r="L116" s="14" t="s">
        <v>258</v>
      </c>
      <c r="M116" s="14">
        <v>2013</v>
      </c>
      <c r="N116" s="172">
        <v>6</v>
      </c>
      <c r="O116" s="172"/>
      <c r="P116" s="166"/>
      <c r="Q116" s="166"/>
      <c r="R116" s="171" t="s">
        <v>4</v>
      </c>
      <c r="S116" s="80"/>
      <c r="T116" s="26">
        <f t="shared" si="12"/>
        <v>0</v>
      </c>
      <c r="U116" s="26"/>
      <c r="V116" s="26"/>
      <c r="W116" s="26">
        <f t="shared" si="13"/>
        <v>0</v>
      </c>
      <c r="X116" s="26"/>
      <c r="Y116" s="26"/>
      <c r="Z116" s="28">
        <f t="shared" si="14"/>
        <v>0</v>
      </c>
      <c r="AA116" s="31">
        <f t="shared" si="10"/>
        <v>0</v>
      </c>
      <c r="AB116" s="28">
        <f t="shared" si="10"/>
        <v>0</v>
      </c>
      <c r="AC116" s="5">
        <f t="shared" si="11"/>
        <v>874.8</v>
      </c>
      <c r="AE116" s="5">
        <f>K116-AC116</f>
        <v>0</v>
      </c>
      <c r="AG116" s="5">
        <f t="shared" si="15"/>
        <v>0</v>
      </c>
      <c r="AH116" s="10">
        <f>[1]TDSheet!$J$2746</f>
        <v>225.28</v>
      </c>
      <c r="AI116" s="5">
        <f t="shared" si="16"/>
        <v>-649.52</v>
      </c>
    </row>
    <row r="117" spans="1:35" ht="15.75">
      <c r="A117" s="134">
        <v>87</v>
      </c>
      <c r="B117" s="172" t="s">
        <v>162</v>
      </c>
      <c r="C117" s="106">
        <v>5020000</v>
      </c>
      <c r="D117" s="158" t="s">
        <v>106</v>
      </c>
      <c r="E117" s="172"/>
      <c r="F117" s="172">
        <v>876</v>
      </c>
      <c r="G117" s="172" t="s">
        <v>294</v>
      </c>
      <c r="H117" s="172">
        <v>1</v>
      </c>
      <c r="I117" s="144" t="s">
        <v>274</v>
      </c>
      <c r="J117" s="172" t="s">
        <v>161</v>
      </c>
      <c r="K117" s="145">
        <f>S117</f>
        <v>7.2712500000000002</v>
      </c>
      <c r="L117" s="14" t="s">
        <v>258</v>
      </c>
      <c r="M117" s="14">
        <v>2013</v>
      </c>
      <c r="N117" s="172">
        <v>6</v>
      </c>
      <c r="O117" s="172"/>
      <c r="P117" s="166"/>
      <c r="Q117" s="166"/>
      <c r="R117" s="171" t="s">
        <v>6</v>
      </c>
      <c r="S117" s="80">
        <v>7.2712500000000002</v>
      </c>
      <c r="T117" s="26">
        <f t="shared" si="12"/>
        <v>0</v>
      </c>
      <c r="U117" s="26">
        <v>0</v>
      </c>
      <c r="V117" s="26"/>
      <c r="W117" s="26">
        <f t="shared" si="13"/>
        <v>7.2712500000000002</v>
      </c>
      <c r="X117" s="26">
        <v>7.2712500000000002</v>
      </c>
      <c r="Y117" s="26"/>
      <c r="Z117" s="28">
        <f t="shared" si="14"/>
        <v>7.2712500000000002</v>
      </c>
      <c r="AA117" s="31">
        <f t="shared" si="10"/>
        <v>7.2712500000000002</v>
      </c>
      <c r="AB117" s="28">
        <f t="shared" si="10"/>
        <v>0</v>
      </c>
      <c r="AC117" s="5">
        <f t="shared" si="11"/>
        <v>0</v>
      </c>
      <c r="AE117" s="5"/>
      <c r="AG117" s="5">
        <f t="shared" si="15"/>
        <v>-7.2712500000000002</v>
      </c>
      <c r="AH117" s="10"/>
      <c r="AI117" s="5">
        <f t="shared" si="16"/>
        <v>-7.2712500000000002</v>
      </c>
    </row>
    <row r="118" spans="1:35" ht="47.25">
      <c r="A118" s="134">
        <v>88</v>
      </c>
      <c r="B118" s="172" t="s">
        <v>162</v>
      </c>
      <c r="C118" s="106">
        <v>7523000</v>
      </c>
      <c r="D118" s="158" t="s">
        <v>107</v>
      </c>
      <c r="E118" s="149" t="s">
        <v>208</v>
      </c>
      <c r="F118" s="149">
        <v>876</v>
      </c>
      <c r="G118" s="172" t="s">
        <v>294</v>
      </c>
      <c r="H118" s="172">
        <v>1</v>
      </c>
      <c r="I118" s="144" t="s">
        <v>274</v>
      </c>
      <c r="J118" s="172" t="s">
        <v>161</v>
      </c>
      <c r="K118" s="145">
        <v>40</v>
      </c>
      <c r="L118" s="14" t="s">
        <v>258</v>
      </c>
      <c r="M118" s="14">
        <v>2013</v>
      </c>
      <c r="N118" s="172">
        <v>6</v>
      </c>
      <c r="O118" s="172"/>
      <c r="P118" s="166"/>
      <c r="Q118" s="166"/>
      <c r="R118" s="171" t="s">
        <v>4</v>
      </c>
      <c r="S118" s="80">
        <v>12.227</v>
      </c>
      <c r="T118" s="26">
        <f t="shared" si="12"/>
        <v>0</v>
      </c>
      <c r="U118" s="26">
        <v>0</v>
      </c>
      <c r="V118" s="26"/>
      <c r="W118" s="26">
        <f t="shared" si="13"/>
        <v>12.227</v>
      </c>
      <c r="X118" s="26">
        <v>12.227</v>
      </c>
      <c r="Y118" s="26"/>
      <c r="Z118" s="28">
        <f t="shared" si="14"/>
        <v>12.227</v>
      </c>
      <c r="AA118" s="31">
        <f t="shared" si="10"/>
        <v>12.227</v>
      </c>
      <c r="AB118" s="28">
        <f t="shared" si="10"/>
        <v>0</v>
      </c>
      <c r="AC118" s="5">
        <f t="shared" si="11"/>
        <v>27.773</v>
      </c>
      <c r="AE118" s="5"/>
      <c r="AG118" s="5">
        <f t="shared" si="15"/>
        <v>-12.227</v>
      </c>
      <c r="AH118" s="10"/>
      <c r="AI118" s="5">
        <f t="shared" si="16"/>
        <v>-40</v>
      </c>
    </row>
    <row r="119" spans="1:35" ht="15.75">
      <c r="A119" s="134">
        <v>89</v>
      </c>
      <c r="B119" s="172" t="s">
        <v>162</v>
      </c>
      <c r="C119" s="106">
        <v>8513010</v>
      </c>
      <c r="D119" s="158" t="s">
        <v>108</v>
      </c>
      <c r="E119" s="149" t="s">
        <v>209</v>
      </c>
      <c r="F119" s="149">
        <v>876</v>
      </c>
      <c r="G119" s="172" t="s">
        <v>294</v>
      </c>
      <c r="H119" s="172">
        <v>1</v>
      </c>
      <c r="I119" s="144" t="s">
        <v>274</v>
      </c>
      <c r="J119" s="172" t="s">
        <v>161</v>
      </c>
      <c r="K119" s="145">
        <f>S119</f>
        <v>30.662310000000002</v>
      </c>
      <c r="L119" s="14" t="s">
        <v>258</v>
      </c>
      <c r="M119" s="14">
        <v>2013</v>
      </c>
      <c r="N119" s="172">
        <v>6</v>
      </c>
      <c r="O119" s="172"/>
      <c r="P119" s="166"/>
      <c r="Q119" s="166"/>
      <c r="R119" s="171" t="s">
        <v>6</v>
      </c>
      <c r="S119" s="80">
        <v>30.662310000000002</v>
      </c>
      <c r="T119" s="26">
        <f t="shared" si="12"/>
        <v>30.662610000000001</v>
      </c>
      <c r="U119" s="26">
        <v>30.662610000000001</v>
      </c>
      <c r="V119" s="26"/>
      <c r="W119" s="26">
        <f t="shared" si="13"/>
        <v>30.662310000000002</v>
      </c>
      <c r="X119" s="26">
        <v>30.662310000000002</v>
      </c>
      <c r="Y119" s="26"/>
      <c r="Z119" s="28">
        <f t="shared" si="14"/>
        <v>-2.9999999999930083E-4</v>
      </c>
      <c r="AA119" s="31">
        <f t="shared" ref="AA119:AB142" si="17">X119-U119</f>
        <v>-2.9999999999930083E-4</v>
      </c>
      <c r="AB119" s="28">
        <f t="shared" si="17"/>
        <v>0</v>
      </c>
      <c r="AC119" s="5">
        <f t="shared" si="11"/>
        <v>0</v>
      </c>
      <c r="AE119" s="5"/>
      <c r="AG119" s="5">
        <f t="shared" si="15"/>
        <v>2.9999999999930083E-4</v>
      </c>
      <c r="AH119" s="10"/>
      <c r="AI119" s="5">
        <f t="shared" si="16"/>
        <v>-30.662310000000002</v>
      </c>
    </row>
    <row r="120" spans="1:35" ht="15.75">
      <c r="A120" s="134">
        <v>90</v>
      </c>
      <c r="B120" s="172" t="s">
        <v>162</v>
      </c>
      <c r="C120" s="146">
        <v>2010000</v>
      </c>
      <c r="D120" s="158" t="s">
        <v>109</v>
      </c>
      <c r="E120" s="149" t="s">
        <v>210</v>
      </c>
      <c r="F120" s="149">
        <v>876</v>
      </c>
      <c r="G120" s="172" t="s">
        <v>294</v>
      </c>
      <c r="H120" s="172">
        <v>1</v>
      </c>
      <c r="I120" s="144" t="s">
        <v>274</v>
      </c>
      <c r="J120" s="172" t="s">
        <v>161</v>
      </c>
      <c r="K120" s="145">
        <f>1000+1200*0.3</f>
        <v>1360</v>
      </c>
      <c r="L120" s="14" t="s">
        <v>258</v>
      </c>
      <c r="M120" s="14">
        <v>2013</v>
      </c>
      <c r="N120" s="172">
        <v>6</v>
      </c>
      <c r="O120" s="172"/>
      <c r="P120" s="166"/>
      <c r="Q120" s="166"/>
      <c r="R120" s="171" t="s">
        <v>4</v>
      </c>
      <c r="S120" s="80">
        <v>34.798000000000002</v>
      </c>
      <c r="T120" s="26">
        <f t="shared" si="12"/>
        <v>51.7</v>
      </c>
      <c r="U120" s="26">
        <v>30</v>
      </c>
      <c r="V120" s="26">
        <v>21.7</v>
      </c>
      <c r="W120" s="26">
        <f t="shared" si="13"/>
        <v>99.450100000000006</v>
      </c>
      <c r="X120" s="26">
        <v>75.699100000000001</v>
      </c>
      <c r="Y120" s="26">
        <v>23.751000000000001</v>
      </c>
      <c r="Z120" s="28">
        <f t="shared" si="14"/>
        <v>47.750100000000003</v>
      </c>
      <c r="AA120" s="31">
        <f t="shared" si="17"/>
        <v>45.699100000000001</v>
      </c>
      <c r="AB120" s="28">
        <f t="shared" si="17"/>
        <v>2.0510000000000019</v>
      </c>
      <c r="AC120" s="5">
        <f t="shared" si="11"/>
        <v>1284.3009</v>
      </c>
      <c r="AE120" s="5"/>
      <c r="AG120" s="5">
        <f t="shared" si="15"/>
        <v>-45.699100000000001</v>
      </c>
      <c r="AH120" s="10">
        <f>[1]TDSheet!$J$4346</f>
        <v>222.93</v>
      </c>
      <c r="AI120" s="5">
        <f t="shared" si="16"/>
        <v>-1137.07</v>
      </c>
    </row>
    <row r="121" spans="1:35" ht="31.5">
      <c r="A121" s="134">
        <v>91</v>
      </c>
      <c r="B121" s="172" t="s">
        <v>162</v>
      </c>
      <c r="C121" s="106">
        <v>6322000</v>
      </c>
      <c r="D121" s="158" t="s">
        <v>110</v>
      </c>
      <c r="E121" s="172" t="s">
        <v>207</v>
      </c>
      <c r="F121" s="172">
        <v>876</v>
      </c>
      <c r="G121" s="172" t="s">
        <v>294</v>
      </c>
      <c r="H121" s="172">
        <v>1</v>
      </c>
      <c r="I121" s="144" t="s">
        <v>274</v>
      </c>
      <c r="J121" s="172" t="s">
        <v>161</v>
      </c>
      <c r="K121" s="145">
        <f>'[3]Форма 1 (скорект)'!$G$94</f>
        <v>29329.618775070528</v>
      </c>
      <c r="L121" s="14" t="s">
        <v>258</v>
      </c>
      <c r="M121" s="14">
        <v>2013</v>
      </c>
      <c r="N121" s="172">
        <v>6</v>
      </c>
      <c r="O121" s="172"/>
      <c r="P121" s="166"/>
      <c r="Q121" s="166"/>
      <c r="R121" s="171" t="s">
        <v>4</v>
      </c>
      <c r="S121" s="82">
        <f>21.7994+172</f>
        <v>193.79939999999999</v>
      </c>
      <c r="T121" s="10">
        <f t="shared" si="12"/>
        <v>0</v>
      </c>
      <c r="U121" s="10">
        <f>0+0</f>
        <v>0</v>
      </c>
      <c r="V121" s="10"/>
      <c r="W121" s="10">
        <f t="shared" si="13"/>
        <v>134.27719999999999</v>
      </c>
      <c r="X121" s="10">
        <f>23.7994+90</f>
        <v>113.79939999999999</v>
      </c>
      <c r="Y121" s="10">
        <f>18.3778+2.1</f>
        <v>20.477800000000002</v>
      </c>
      <c r="Z121" s="28">
        <f t="shared" si="14"/>
        <v>134.27719999999999</v>
      </c>
      <c r="AA121" s="31">
        <f t="shared" si="17"/>
        <v>113.79939999999999</v>
      </c>
      <c r="AB121" s="28">
        <f t="shared" si="17"/>
        <v>20.477800000000002</v>
      </c>
      <c r="AC121" s="5">
        <f t="shared" si="11"/>
        <v>29215.819375070529</v>
      </c>
      <c r="AE121" s="5"/>
      <c r="AG121" s="5">
        <f t="shared" si="15"/>
        <v>-113.79939999999999</v>
      </c>
      <c r="AH121" s="10">
        <f>[1]TDSheet!$J$2755+[1]TDSheet!$J$2912+[1]TDSheet!$J$3221+[1]TDSheet!$J$3271</f>
        <v>4186.17</v>
      </c>
      <c r="AI121" s="5">
        <f t="shared" si="16"/>
        <v>-25143.44877507053</v>
      </c>
    </row>
    <row r="122" spans="1:35" ht="34.5" customHeight="1">
      <c r="A122" s="134">
        <v>92</v>
      </c>
      <c r="B122" s="172" t="s">
        <v>162</v>
      </c>
      <c r="C122" s="106">
        <v>6312000</v>
      </c>
      <c r="D122" s="158" t="s">
        <v>111</v>
      </c>
      <c r="E122" s="149" t="s">
        <v>211</v>
      </c>
      <c r="F122" s="149">
        <v>876</v>
      </c>
      <c r="G122" s="172" t="s">
        <v>294</v>
      </c>
      <c r="H122" s="172">
        <v>1</v>
      </c>
      <c r="I122" s="144" t="s">
        <v>274</v>
      </c>
      <c r="J122" s="172" t="s">
        <v>161</v>
      </c>
      <c r="K122" s="145">
        <f>S122*2</f>
        <v>248.79123999999999</v>
      </c>
      <c r="L122" s="14" t="s">
        <v>258</v>
      </c>
      <c r="M122" s="14">
        <v>2013</v>
      </c>
      <c r="N122" s="172">
        <v>6</v>
      </c>
      <c r="O122" s="172"/>
      <c r="P122" s="166"/>
      <c r="Q122" s="166"/>
      <c r="R122" s="171" t="s">
        <v>4</v>
      </c>
      <c r="S122" s="80">
        <v>124.39561999999999</v>
      </c>
      <c r="T122" s="26">
        <f t="shared" si="12"/>
        <v>61.242089999999997</v>
      </c>
      <c r="U122" s="26">
        <v>61.242089999999997</v>
      </c>
      <c r="V122" s="26"/>
      <c r="W122" s="26">
        <f t="shared" si="13"/>
        <v>124.39561999999999</v>
      </c>
      <c r="X122" s="26">
        <v>124.39561999999999</v>
      </c>
      <c r="Y122" s="26"/>
      <c r="Z122" s="28">
        <f t="shared" si="14"/>
        <v>63.153529999999996</v>
      </c>
      <c r="AA122" s="31">
        <f t="shared" si="17"/>
        <v>63.153529999999996</v>
      </c>
      <c r="AB122" s="28">
        <f t="shared" si="17"/>
        <v>0</v>
      </c>
      <c r="AC122" s="5">
        <f t="shared" si="11"/>
        <v>124.39561999999999</v>
      </c>
      <c r="AE122" s="5"/>
      <c r="AG122" s="5">
        <f t="shared" si="15"/>
        <v>-63.153529999999996</v>
      </c>
      <c r="AH122" s="10"/>
      <c r="AI122" s="5">
        <f t="shared" si="16"/>
        <v>-248.79123999999999</v>
      </c>
    </row>
    <row r="123" spans="1:35" ht="15.75">
      <c r="A123" s="134">
        <v>93</v>
      </c>
      <c r="B123" s="172" t="s">
        <v>162</v>
      </c>
      <c r="C123" s="106">
        <v>2944020</v>
      </c>
      <c r="D123" s="158" t="s">
        <v>112</v>
      </c>
      <c r="E123" s="172" t="s">
        <v>212</v>
      </c>
      <c r="F123" s="172">
        <v>876</v>
      </c>
      <c r="G123" s="172" t="s">
        <v>294</v>
      </c>
      <c r="H123" s="172">
        <v>1</v>
      </c>
      <c r="I123" s="144" t="s">
        <v>274</v>
      </c>
      <c r="J123" s="172" t="s">
        <v>161</v>
      </c>
      <c r="K123" s="145">
        <f>S123*2</f>
        <v>692.87279999999998</v>
      </c>
      <c r="L123" s="14" t="s">
        <v>258</v>
      </c>
      <c r="M123" s="14">
        <v>2013</v>
      </c>
      <c r="N123" s="172">
        <v>6</v>
      </c>
      <c r="O123" s="172"/>
      <c r="P123" s="166"/>
      <c r="Q123" s="166"/>
      <c r="R123" s="171" t="s">
        <v>4</v>
      </c>
      <c r="S123" s="82">
        <v>346.43639999999999</v>
      </c>
      <c r="T123" s="10">
        <f t="shared" si="12"/>
        <v>346.43639999999999</v>
      </c>
      <c r="U123" s="10">
        <v>346.43639999999999</v>
      </c>
      <c r="V123" s="10"/>
      <c r="W123" s="10">
        <f t="shared" si="13"/>
        <v>346.43639999999999</v>
      </c>
      <c r="X123" s="10">
        <v>346.43639999999999</v>
      </c>
      <c r="Y123" s="10"/>
      <c r="Z123" s="28">
        <f t="shared" si="14"/>
        <v>0</v>
      </c>
      <c r="AA123" s="31">
        <f t="shared" si="17"/>
        <v>0</v>
      </c>
      <c r="AB123" s="28">
        <f t="shared" si="17"/>
        <v>0</v>
      </c>
      <c r="AC123" s="5">
        <f t="shared" si="11"/>
        <v>346.43639999999999</v>
      </c>
      <c r="AE123" s="5"/>
      <c r="AG123" s="5">
        <f t="shared" si="15"/>
        <v>0</v>
      </c>
      <c r="AH123" s="10"/>
      <c r="AI123" s="5">
        <f t="shared" si="16"/>
        <v>-692.87279999999998</v>
      </c>
    </row>
    <row r="124" spans="1:35" ht="15.75">
      <c r="A124" s="134">
        <v>94</v>
      </c>
      <c r="B124" s="172" t="s">
        <v>162</v>
      </c>
      <c r="C124" s="106">
        <v>3190070</v>
      </c>
      <c r="D124" s="158" t="s">
        <v>113</v>
      </c>
      <c r="E124" s="149" t="s">
        <v>213</v>
      </c>
      <c r="F124" s="149">
        <v>876</v>
      </c>
      <c r="G124" s="172" t="s">
        <v>294</v>
      </c>
      <c r="H124" s="172">
        <v>1</v>
      </c>
      <c r="I124" s="144" t="s">
        <v>274</v>
      </c>
      <c r="J124" s="172" t="s">
        <v>161</v>
      </c>
      <c r="K124" s="145">
        <f>S124</f>
        <v>88.6</v>
      </c>
      <c r="L124" s="14" t="s">
        <v>258</v>
      </c>
      <c r="M124" s="14">
        <v>2013</v>
      </c>
      <c r="N124" s="172">
        <v>6</v>
      </c>
      <c r="O124" s="172"/>
      <c r="P124" s="166"/>
      <c r="Q124" s="166"/>
      <c r="R124" s="171" t="s">
        <v>6</v>
      </c>
      <c r="S124" s="82">
        <v>88.6</v>
      </c>
      <c r="T124" s="10">
        <f t="shared" si="12"/>
        <v>88.6</v>
      </c>
      <c r="U124" s="10">
        <v>88.6</v>
      </c>
      <c r="V124" s="10"/>
      <c r="W124" s="10">
        <f t="shared" si="13"/>
        <v>88.6</v>
      </c>
      <c r="X124" s="10">
        <v>88.6</v>
      </c>
      <c r="Y124" s="10"/>
      <c r="Z124" s="28">
        <f t="shared" si="14"/>
        <v>0</v>
      </c>
      <c r="AA124" s="31">
        <f t="shared" si="17"/>
        <v>0</v>
      </c>
      <c r="AB124" s="28">
        <f t="shared" si="17"/>
        <v>0</v>
      </c>
      <c r="AC124" s="5">
        <f t="shared" si="11"/>
        <v>0</v>
      </c>
      <c r="AE124" s="5"/>
      <c r="AG124" s="5">
        <f t="shared" si="15"/>
        <v>0</v>
      </c>
      <c r="AH124" s="10"/>
      <c r="AI124" s="5">
        <f t="shared" si="16"/>
        <v>-88.6</v>
      </c>
    </row>
    <row r="125" spans="1:35" ht="60" customHeight="1">
      <c r="A125" s="134">
        <v>95</v>
      </c>
      <c r="B125" s="172" t="s">
        <v>162</v>
      </c>
      <c r="C125" s="106">
        <v>1721690</v>
      </c>
      <c r="D125" s="158" t="s">
        <v>114</v>
      </c>
      <c r="E125" s="149" t="s">
        <v>214</v>
      </c>
      <c r="F125" s="149">
        <v>876</v>
      </c>
      <c r="G125" s="172" t="s">
        <v>294</v>
      </c>
      <c r="H125" s="172">
        <v>1</v>
      </c>
      <c r="I125" s="144" t="s">
        <v>274</v>
      </c>
      <c r="J125" s="172" t="s">
        <v>161</v>
      </c>
      <c r="K125" s="145">
        <f>S125*2</f>
        <v>701.53417999999999</v>
      </c>
      <c r="L125" s="14" t="s">
        <v>258</v>
      </c>
      <c r="M125" s="14">
        <v>2013</v>
      </c>
      <c r="N125" s="172">
        <v>6</v>
      </c>
      <c r="O125" s="172"/>
      <c r="P125" s="166"/>
      <c r="Q125" s="166"/>
      <c r="R125" s="171" t="s">
        <v>4</v>
      </c>
      <c r="S125" s="82">
        <v>350.76709</v>
      </c>
      <c r="T125" s="10">
        <f t="shared" si="12"/>
        <v>303.20326999999997</v>
      </c>
      <c r="U125" s="10">
        <v>303.20326999999997</v>
      </c>
      <c r="V125" s="10"/>
      <c r="W125" s="10">
        <f t="shared" si="13"/>
        <v>457.07308999999998</v>
      </c>
      <c r="X125" s="10">
        <v>457.07308999999998</v>
      </c>
      <c r="Y125" s="10"/>
      <c r="Z125" s="28">
        <f t="shared" si="14"/>
        <v>153.86982</v>
      </c>
      <c r="AA125" s="31">
        <f t="shared" si="17"/>
        <v>153.86982</v>
      </c>
      <c r="AB125" s="28">
        <f t="shared" si="17"/>
        <v>0</v>
      </c>
      <c r="AC125" s="5">
        <f t="shared" si="11"/>
        <v>244.46109000000001</v>
      </c>
      <c r="AE125" s="5"/>
      <c r="AG125" s="5">
        <f>U125-X125</f>
        <v>-153.86982</v>
      </c>
      <c r="AH125" s="10"/>
      <c r="AI125" s="5">
        <f t="shared" si="16"/>
        <v>-701.53417999999999</v>
      </c>
    </row>
    <row r="126" spans="1:35" ht="31.5">
      <c r="A126" s="134">
        <v>96</v>
      </c>
      <c r="B126" s="172" t="s">
        <v>162</v>
      </c>
      <c r="C126" s="106">
        <v>3610000</v>
      </c>
      <c r="D126" s="158" t="s">
        <v>115</v>
      </c>
      <c r="E126" s="172" t="s">
        <v>215</v>
      </c>
      <c r="F126" s="172">
        <v>876</v>
      </c>
      <c r="G126" s="172" t="s">
        <v>294</v>
      </c>
      <c r="H126" s="172">
        <v>1</v>
      </c>
      <c r="I126" s="144" t="s">
        <v>274</v>
      </c>
      <c r="J126" s="172" t="s">
        <v>161</v>
      </c>
      <c r="K126" s="145">
        <f>S126*6</f>
        <v>196.07999999999998</v>
      </c>
      <c r="L126" s="14" t="s">
        <v>258</v>
      </c>
      <c r="M126" s="14">
        <v>2013</v>
      </c>
      <c r="N126" s="172">
        <v>6</v>
      </c>
      <c r="O126" s="172"/>
      <c r="P126" s="166"/>
      <c r="Q126" s="166"/>
      <c r="R126" s="171" t="s">
        <v>4</v>
      </c>
      <c r="S126" s="82">
        <v>32.68</v>
      </c>
      <c r="T126" s="10">
        <f t="shared" si="12"/>
        <v>32.68</v>
      </c>
      <c r="U126" s="10">
        <v>32.68</v>
      </c>
      <c r="V126" s="10"/>
      <c r="W126" s="10">
        <f t="shared" si="13"/>
        <v>127.253</v>
      </c>
      <c r="X126" s="10">
        <v>127.253</v>
      </c>
      <c r="Y126" s="10"/>
      <c r="Z126" s="28">
        <f t="shared" si="14"/>
        <v>94.573000000000008</v>
      </c>
      <c r="AA126" s="31">
        <f t="shared" si="17"/>
        <v>94.573000000000008</v>
      </c>
      <c r="AB126" s="28">
        <f t="shared" si="17"/>
        <v>0</v>
      </c>
      <c r="AC126" s="5">
        <f t="shared" si="11"/>
        <v>68.826999999999984</v>
      </c>
      <c r="AE126" s="5"/>
      <c r="AG126" s="5">
        <f t="shared" si="15"/>
        <v>-94.573000000000008</v>
      </c>
      <c r="AH126" s="10"/>
      <c r="AI126" s="5">
        <f t="shared" si="16"/>
        <v>-196.07999999999998</v>
      </c>
    </row>
    <row r="127" spans="1:35" ht="31.5">
      <c r="A127" s="134">
        <v>97</v>
      </c>
      <c r="B127" s="172" t="s">
        <v>162</v>
      </c>
      <c r="C127" s="106">
        <v>2919770</v>
      </c>
      <c r="D127" s="158" t="s">
        <v>116</v>
      </c>
      <c r="E127" s="172" t="s">
        <v>182</v>
      </c>
      <c r="F127" s="172">
        <v>876</v>
      </c>
      <c r="G127" s="172" t="s">
        <v>294</v>
      </c>
      <c r="H127" s="172">
        <v>1</v>
      </c>
      <c r="I127" s="144" t="s">
        <v>274</v>
      </c>
      <c r="J127" s="172" t="s">
        <v>161</v>
      </c>
      <c r="K127" s="145">
        <f>S127</f>
        <v>824.99982999999997</v>
      </c>
      <c r="L127" s="14" t="s">
        <v>258</v>
      </c>
      <c r="M127" s="14">
        <v>2013</v>
      </c>
      <c r="N127" s="172">
        <v>6</v>
      </c>
      <c r="O127" s="172"/>
      <c r="P127" s="166"/>
      <c r="Q127" s="166"/>
      <c r="R127" s="171" t="s">
        <v>6</v>
      </c>
      <c r="S127" s="82">
        <v>824.99982999999997</v>
      </c>
      <c r="T127" s="10">
        <f t="shared" si="12"/>
        <v>824.99982999999997</v>
      </c>
      <c r="U127" s="10">
        <v>824.99982999999997</v>
      </c>
      <c r="V127" s="10"/>
      <c r="W127" s="10">
        <f t="shared" si="13"/>
        <v>824.99982999999997</v>
      </c>
      <c r="X127" s="10">
        <v>824.99982999999997</v>
      </c>
      <c r="Y127" s="10"/>
      <c r="Z127" s="28">
        <f t="shared" si="14"/>
        <v>0</v>
      </c>
      <c r="AA127" s="31">
        <f t="shared" si="17"/>
        <v>0</v>
      </c>
      <c r="AB127" s="28">
        <f t="shared" si="17"/>
        <v>0</v>
      </c>
      <c r="AC127" s="5">
        <f t="shared" si="11"/>
        <v>0</v>
      </c>
      <c r="AE127" s="5"/>
      <c r="AG127" s="5">
        <f t="shared" si="15"/>
        <v>0</v>
      </c>
      <c r="AH127" s="10"/>
      <c r="AI127" s="5">
        <f t="shared" si="16"/>
        <v>-824.99982999999997</v>
      </c>
    </row>
    <row r="128" spans="1:35" ht="15.75">
      <c r="A128" s="134">
        <v>98</v>
      </c>
      <c r="B128" s="172" t="s">
        <v>162</v>
      </c>
      <c r="C128" s="106">
        <v>3695000</v>
      </c>
      <c r="D128" s="158" t="s">
        <v>117</v>
      </c>
      <c r="E128" s="172"/>
      <c r="F128" s="172">
        <v>876</v>
      </c>
      <c r="G128" s="172" t="s">
        <v>294</v>
      </c>
      <c r="H128" s="172">
        <v>1</v>
      </c>
      <c r="I128" s="144" t="s">
        <v>274</v>
      </c>
      <c r="J128" s="172" t="s">
        <v>161</v>
      </c>
      <c r="K128" s="145">
        <f>S128</f>
        <v>28</v>
      </c>
      <c r="L128" s="14" t="s">
        <v>258</v>
      </c>
      <c r="M128" s="14">
        <v>2013</v>
      </c>
      <c r="N128" s="172">
        <v>6</v>
      </c>
      <c r="O128" s="172"/>
      <c r="P128" s="166"/>
      <c r="Q128" s="166"/>
      <c r="R128" s="171" t="s">
        <v>6</v>
      </c>
      <c r="S128" s="82">
        <v>28</v>
      </c>
      <c r="T128" s="10">
        <f t="shared" si="12"/>
        <v>28</v>
      </c>
      <c r="U128" s="10">
        <v>28</v>
      </c>
      <c r="V128" s="10"/>
      <c r="W128" s="10">
        <f t="shared" si="13"/>
        <v>28</v>
      </c>
      <c r="X128" s="10">
        <v>28</v>
      </c>
      <c r="Y128" s="10"/>
      <c r="Z128" s="28">
        <f t="shared" si="14"/>
        <v>0</v>
      </c>
      <c r="AA128" s="31">
        <f t="shared" si="17"/>
        <v>0</v>
      </c>
      <c r="AB128" s="28">
        <f t="shared" si="17"/>
        <v>0</v>
      </c>
      <c r="AC128" s="5">
        <f t="shared" si="11"/>
        <v>0</v>
      </c>
      <c r="AE128" s="5"/>
      <c r="AG128" s="5">
        <f t="shared" si="15"/>
        <v>0</v>
      </c>
      <c r="AH128" s="10"/>
      <c r="AI128" s="5">
        <f t="shared" si="16"/>
        <v>-28</v>
      </c>
    </row>
    <row r="129" spans="1:35" ht="15.75">
      <c r="A129" s="134">
        <v>99</v>
      </c>
      <c r="B129" s="172" t="s">
        <v>162</v>
      </c>
      <c r="C129" s="106">
        <v>2423683</v>
      </c>
      <c r="D129" s="158" t="s">
        <v>118</v>
      </c>
      <c r="E129" s="149" t="s">
        <v>216</v>
      </c>
      <c r="F129" s="149">
        <v>876</v>
      </c>
      <c r="G129" s="172" t="s">
        <v>294</v>
      </c>
      <c r="H129" s="172">
        <v>1</v>
      </c>
      <c r="I129" s="144" t="s">
        <v>274</v>
      </c>
      <c r="J129" s="172" t="s">
        <v>161</v>
      </c>
      <c r="K129" s="145">
        <f>'[3]Форма 1 (скорект)'!$G$79</f>
        <v>420</v>
      </c>
      <c r="L129" s="14" t="s">
        <v>258</v>
      </c>
      <c r="M129" s="14">
        <v>2013</v>
      </c>
      <c r="N129" s="172">
        <v>6</v>
      </c>
      <c r="O129" s="172"/>
      <c r="P129" s="166"/>
      <c r="Q129" s="166"/>
      <c r="R129" s="171" t="s">
        <v>4</v>
      </c>
      <c r="S129" s="82">
        <v>58.3</v>
      </c>
      <c r="T129" s="10">
        <f t="shared" si="12"/>
        <v>58.3</v>
      </c>
      <c r="U129" s="10">
        <v>58.3</v>
      </c>
      <c r="V129" s="10"/>
      <c r="W129" s="10">
        <f t="shared" si="13"/>
        <v>174.9</v>
      </c>
      <c r="X129" s="10">
        <v>174.9</v>
      </c>
      <c r="Y129" s="10"/>
      <c r="Z129" s="28">
        <f t="shared" si="14"/>
        <v>116.60000000000001</v>
      </c>
      <c r="AA129" s="31">
        <f t="shared" si="17"/>
        <v>116.60000000000001</v>
      </c>
      <c r="AB129" s="28">
        <f t="shared" si="17"/>
        <v>0</v>
      </c>
      <c r="AC129" s="5">
        <f t="shared" si="11"/>
        <v>245.1</v>
      </c>
      <c r="AE129" s="5"/>
      <c r="AG129" s="5">
        <f t="shared" si="15"/>
        <v>-116.60000000000001</v>
      </c>
      <c r="AH129" s="10"/>
      <c r="AI129" s="5">
        <f t="shared" si="16"/>
        <v>-420</v>
      </c>
    </row>
    <row r="130" spans="1:35" ht="15.75">
      <c r="A130" s="134">
        <v>100</v>
      </c>
      <c r="B130" s="172" t="s">
        <v>162</v>
      </c>
      <c r="C130" s="106">
        <v>2944190</v>
      </c>
      <c r="D130" s="158" t="s">
        <v>121</v>
      </c>
      <c r="E130" s="149" t="s">
        <v>217</v>
      </c>
      <c r="F130" s="149">
        <v>876</v>
      </c>
      <c r="G130" s="172" t="s">
        <v>294</v>
      </c>
      <c r="H130" s="172">
        <v>1</v>
      </c>
      <c r="I130" s="144" t="s">
        <v>274</v>
      </c>
      <c r="J130" s="172" t="s">
        <v>161</v>
      </c>
      <c r="K130" s="145">
        <f>58.5*2</f>
        <v>117</v>
      </c>
      <c r="L130" s="14" t="s">
        <v>258</v>
      </c>
      <c r="M130" s="14">
        <v>2013</v>
      </c>
      <c r="N130" s="172">
        <v>6</v>
      </c>
      <c r="O130" s="172"/>
      <c r="P130" s="166"/>
      <c r="Q130" s="166"/>
      <c r="R130" s="171" t="s">
        <v>4</v>
      </c>
      <c r="S130" s="82"/>
      <c r="T130" s="10">
        <f t="shared" si="12"/>
        <v>0</v>
      </c>
      <c r="U130" s="10">
        <v>0</v>
      </c>
      <c r="V130" s="10"/>
      <c r="W130" s="10">
        <f t="shared" si="13"/>
        <v>58.5</v>
      </c>
      <c r="X130" s="10">
        <v>58.5</v>
      </c>
      <c r="Y130" s="10"/>
      <c r="Z130" s="28">
        <f t="shared" si="14"/>
        <v>58.5</v>
      </c>
      <c r="AA130" s="31">
        <f t="shared" si="17"/>
        <v>58.5</v>
      </c>
      <c r="AB130" s="28">
        <f t="shared" si="17"/>
        <v>0</v>
      </c>
      <c r="AC130" s="5">
        <f t="shared" si="11"/>
        <v>58.5</v>
      </c>
      <c r="AE130" s="5"/>
      <c r="AG130" s="5">
        <f t="shared" si="15"/>
        <v>-58.5</v>
      </c>
      <c r="AH130" s="10"/>
      <c r="AI130" s="5">
        <f t="shared" si="16"/>
        <v>-117</v>
      </c>
    </row>
    <row r="131" spans="1:35" ht="15.75">
      <c r="A131" s="134">
        <v>101</v>
      </c>
      <c r="B131" s="172" t="s">
        <v>162</v>
      </c>
      <c r="C131" s="106">
        <v>6511030</v>
      </c>
      <c r="D131" s="158" t="s">
        <v>122</v>
      </c>
      <c r="E131" s="172" t="s">
        <v>218</v>
      </c>
      <c r="F131" s="172">
        <v>876</v>
      </c>
      <c r="G131" s="172" t="s">
        <v>294</v>
      </c>
      <c r="H131" s="172">
        <v>1</v>
      </c>
      <c r="I131" s="144" t="s">
        <v>274</v>
      </c>
      <c r="J131" s="172" t="s">
        <v>161</v>
      </c>
      <c r="K131" s="145">
        <f>1</f>
        <v>1</v>
      </c>
      <c r="L131" s="14" t="s">
        <v>258</v>
      </c>
      <c r="M131" s="14">
        <v>2013</v>
      </c>
      <c r="N131" s="172">
        <v>6</v>
      </c>
      <c r="O131" s="172"/>
      <c r="P131" s="166"/>
      <c r="Q131" s="166"/>
      <c r="R131" s="171" t="s">
        <v>6</v>
      </c>
      <c r="S131" s="82"/>
      <c r="T131" s="10">
        <f t="shared" si="12"/>
        <v>1</v>
      </c>
      <c r="U131" s="10">
        <v>1</v>
      </c>
      <c r="V131" s="10"/>
      <c r="W131" s="10">
        <f t="shared" si="13"/>
        <v>1</v>
      </c>
      <c r="X131" s="10">
        <v>1</v>
      </c>
      <c r="Y131" s="10"/>
      <c r="Z131" s="28">
        <f t="shared" si="14"/>
        <v>0</v>
      </c>
      <c r="AA131" s="31">
        <f t="shared" si="17"/>
        <v>0</v>
      </c>
      <c r="AB131" s="28">
        <f t="shared" si="17"/>
        <v>0</v>
      </c>
      <c r="AC131" s="5">
        <f t="shared" si="11"/>
        <v>0</v>
      </c>
      <c r="AE131" s="5"/>
      <c r="AG131" s="5">
        <f t="shared" si="15"/>
        <v>0</v>
      </c>
      <c r="AH131" s="10"/>
      <c r="AI131" s="5">
        <f t="shared" si="16"/>
        <v>-1</v>
      </c>
    </row>
    <row r="132" spans="1:35" ht="15.75">
      <c r="A132" s="134">
        <v>102</v>
      </c>
      <c r="B132" s="172" t="s">
        <v>162</v>
      </c>
      <c r="C132" s="137">
        <v>3695000</v>
      </c>
      <c r="D132" s="158" t="s">
        <v>123</v>
      </c>
      <c r="E132" s="149" t="s">
        <v>219</v>
      </c>
      <c r="F132" s="149">
        <v>876</v>
      </c>
      <c r="G132" s="172" t="s">
        <v>294</v>
      </c>
      <c r="H132" s="172">
        <v>1</v>
      </c>
      <c r="I132" s="144" t="s">
        <v>274</v>
      </c>
      <c r="J132" s="172" t="s">
        <v>161</v>
      </c>
      <c r="K132" s="145">
        <v>19</v>
      </c>
      <c r="L132" s="14" t="s">
        <v>258</v>
      </c>
      <c r="M132" s="14">
        <v>2013</v>
      </c>
      <c r="N132" s="172">
        <v>6</v>
      </c>
      <c r="O132" s="172"/>
      <c r="P132" s="166"/>
      <c r="Q132" s="166"/>
      <c r="R132" s="171" t="s">
        <v>6</v>
      </c>
      <c r="S132" s="82"/>
      <c r="T132" s="10">
        <f t="shared" si="12"/>
        <v>0</v>
      </c>
      <c r="U132" s="10">
        <v>0</v>
      </c>
      <c r="V132" s="10"/>
      <c r="W132" s="10">
        <f t="shared" si="13"/>
        <v>19</v>
      </c>
      <c r="X132" s="10">
        <v>19</v>
      </c>
      <c r="Y132" s="10"/>
      <c r="Z132" s="28">
        <f t="shared" si="14"/>
        <v>19</v>
      </c>
      <c r="AA132" s="31">
        <f t="shared" si="17"/>
        <v>19</v>
      </c>
      <c r="AB132" s="28">
        <f t="shared" si="17"/>
        <v>0</v>
      </c>
      <c r="AC132" s="5">
        <f t="shared" si="11"/>
        <v>0</v>
      </c>
      <c r="AE132" s="5"/>
      <c r="AG132" s="5">
        <f t="shared" si="15"/>
        <v>-19</v>
      </c>
      <c r="AH132" s="10"/>
      <c r="AI132" s="5">
        <f t="shared" si="16"/>
        <v>-19</v>
      </c>
    </row>
    <row r="133" spans="1:35" ht="15.75">
      <c r="A133" s="134">
        <v>103</v>
      </c>
      <c r="B133" s="172" t="s">
        <v>162</v>
      </c>
      <c r="C133" s="106">
        <v>2423830</v>
      </c>
      <c r="D133" s="158" t="s">
        <v>124</v>
      </c>
      <c r="E133" s="149" t="s">
        <v>220</v>
      </c>
      <c r="F133" s="149">
        <v>876</v>
      </c>
      <c r="G133" s="172" t="s">
        <v>294</v>
      </c>
      <c r="H133" s="172">
        <v>1</v>
      </c>
      <c r="I133" s="144" t="s">
        <v>274</v>
      </c>
      <c r="J133" s="172" t="s">
        <v>161</v>
      </c>
      <c r="K133" s="145">
        <f>5+6</f>
        <v>11</v>
      </c>
      <c r="L133" s="14" t="s">
        <v>258</v>
      </c>
      <c r="M133" s="14">
        <v>2013</v>
      </c>
      <c r="N133" s="172">
        <v>6</v>
      </c>
      <c r="O133" s="172"/>
      <c r="P133" s="166"/>
      <c r="Q133" s="166"/>
      <c r="R133" s="171" t="s">
        <v>4</v>
      </c>
      <c r="S133" s="82"/>
      <c r="T133" s="10">
        <f t="shared" si="12"/>
        <v>0</v>
      </c>
      <c r="U133" s="10">
        <f>0+0</f>
        <v>0</v>
      </c>
      <c r="V133" s="10"/>
      <c r="W133" s="10">
        <f t="shared" si="13"/>
        <v>9.6358800000000002</v>
      </c>
      <c r="X133" s="10">
        <f>4.17588+5.46</f>
        <v>9.6358800000000002</v>
      </c>
      <c r="Y133" s="10"/>
      <c r="Z133" s="28">
        <f t="shared" si="14"/>
        <v>9.6358800000000002</v>
      </c>
      <c r="AA133" s="31">
        <f t="shared" si="17"/>
        <v>9.6358800000000002</v>
      </c>
      <c r="AB133" s="28">
        <f t="shared" si="17"/>
        <v>0</v>
      </c>
      <c r="AC133" s="5">
        <f t="shared" si="11"/>
        <v>1.3641199999999998</v>
      </c>
      <c r="AE133" s="5"/>
      <c r="AG133" s="5">
        <f t="shared" si="15"/>
        <v>-9.6358800000000002</v>
      </c>
      <c r="AH133" s="10"/>
      <c r="AI133" s="5">
        <f t="shared" si="16"/>
        <v>-11</v>
      </c>
    </row>
    <row r="134" spans="1:35" ht="15.75">
      <c r="A134" s="134">
        <v>104</v>
      </c>
      <c r="B134" s="172" t="s">
        <v>162</v>
      </c>
      <c r="C134" s="106">
        <v>3697494</v>
      </c>
      <c r="D134" s="158" t="s">
        <v>125</v>
      </c>
      <c r="E134" s="149" t="s">
        <v>221</v>
      </c>
      <c r="F134" s="149">
        <v>876</v>
      </c>
      <c r="G134" s="172" t="s">
        <v>294</v>
      </c>
      <c r="H134" s="172">
        <v>1</v>
      </c>
      <c r="I134" s="144" t="s">
        <v>274</v>
      </c>
      <c r="J134" s="172" t="s">
        <v>161</v>
      </c>
      <c r="K134" s="145">
        <v>80</v>
      </c>
      <c r="L134" s="14" t="s">
        <v>258</v>
      </c>
      <c r="M134" s="14">
        <v>2013</v>
      </c>
      <c r="N134" s="172">
        <v>6</v>
      </c>
      <c r="O134" s="172"/>
      <c r="P134" s="166"/>
      <c r="Q134" s="166"/>
      <c r="R134" s="171" t="s">
        <v>4</v>
      </c>
      <c r="S134" s="82"/>
      <c r="T134" s="10">
        <f t="shared" si="12"/>
        <v>0</v>
      </c>
      <c r="U134" s="10">
        <v>0</v>
      </c>
      <c r="V134" s="10"/>
      <c r="W134" s="10">
        <f t="shared" si="13"/>
        <v>69.795209999999997</v>
      </c>
      <c r="X134" s="10">
        <v>69.795209999999997</v>
      </c>
      <c r="Y134" s="10"/>
      <c r="Z134" s="28">
        <f t="shared" si="14"/>
        <v>69.795209999999997</v>
      </c>
      <c r="AA134" s="31">
        <f t="shared" si="17"/>
        <v>69.795209999999997</v>
      </c>
      <c r="AB134" s="28">
        <f t="shared" si="17"/>
        <v>0</v>
      </c>
      <c r="AC134" s="5">
        <f t="shared" si="11"/>
        <v>10.204790000000003</v>
      </c>
      <c r="AE134" s="5"/>
      <c r="AG134" s="5">
        <f t="shared" si="15"/>
        <v>-69.795209999999997</v>
      </c>
      <c r="AH134" s="10"/>
      <c r="AI134" s="5">
        <f t="shared" si="16"/>
        <v>-80</v>
      </c>
    </row>
    <row r="135" spans="1:35" ht="15.75">
      <c r="A135" s="134">
        <v>105</v>
      </c>
      <c r="B135" s="172" t="s">
        <v>162</v>
      </c>
      <c r="C135" s="106">
        <v>3695170</v>
      </c>
      <c r="D135" s="158" t="s">
        <v>126</v>
      </c>
      <c r="E135" s="149" t="s">
        <v>222</v>
      </c>
      <c r="F135" s="149">
        <v>876</v>
      </c>
      <c r="G135" s="172" t="s">
        <v>294</v>
      </c>
      <c r="H135" s="172">
        <v>1</v>
      </c>
      <c r="I135" s="144" t="s">
        <v>274</v>
      </c>
      <c r="J135" s="172" t="s">
        <v>161</v>
      </c>
      <c r="K135" s="145">
        <v>550</v>
      </c>
      <c r="L135" s="14" t="s">
        <v>258</v>
      </c>
      <c r="M135" s="14">
        <v>2013</v>
      </c>
      <c r="N135" s="172">
        <v>6</v>
      </c>
      <c r="O135" s="172"/>
      <c r="P135" s="166"/>
      <c r="Q135" s="166"/>
      <c r="R135" s="171" t="s">
        <v>4</v>
      </c>
      <c r="S135" s="82"/>
      <c r="T135" s="10">
        <f t="shared" si="12"/>
        <v>0</v>
      </c>
      <c r="U135" s="10">
        <v>0</v>
      </c>
      <c r="V135" s="10"/>
      <c r="W135" s="10">
        <f t="shared" si="13"/>
        <v>9</v>
      </c>
      <c r="X135" s="10">
        <v>9</v>
      </c>
      <c r="Y135" s="10"/>
      <c r="Z135" s="28">
        <f t="shared" si="14"/>
        <v>9</v>
      </c>
      <c r="AA135" s="31">
        <f t="shared" si="17"/>
        <v>9</v>
      </c>
      <c r="AB135" s="28">
        <f t="shared" si="17"/>
        <v>0</v>
      </c>
      <c r="AC135" s="5">
        <f t="shared" si="11"/>
        <v>541</v>
      </c>
      <c r="AE135" s="5"/>
      <c r="AG135" s="5">
        <f t="shared" si="15"/>
        <v>-9</v>
      </c>
      <c r="AH135" s="10"/>
      <c r="AI135" s="5">
        <f t="shared" si="16"/>
        <v>-550</v>
      </c>
    </row>
    <row r="136" spans="1:35" ht="31.5">
      <c r="A136" s="134">
        <v>106</v>
      </c>
      <c r="B136" s="172" t="s">
        <v>162</v>
      </c>
      <c r="C136" s="106">
        <v>3530000</v>
      </c>
      <c r="D136" s="158" t="s">
        <v>127</v>
      </c>
      <c r="E136" s="149" t="s">
        <v>223</v>
      </c>
      <c r="F136" s="149">
        <v>876</v>
      </c>
      <c r="G136" s="172" t="s">
        <v>294</v>
      </c>
      <c r="H136" s="172">
        <v>1</v>
      </c>
      <c r="I136" s="144" t="s">
        <v>274</v>
      </c>
      <c r="J136" s="172" t="s">
        <v>161</v>
      </c>
      <c r="K136" s="145">
        <v>600</v>
      </c>
      <c r="L136" s="14" t="s">
        <v>258</v>
      </c>
      <c r="M136" s="14">
        <v>2013</v>
      </c>
      <c r="N136" s="172">
        <v>6</v>
      </c>
      <c r="O136" s="172"/>
      <c r="P136" s="166"/>
      <c r="Q136" s="166"/>
      <c r="R136" s="171" t="s">
        <v>4</v>
      </c>
      <c r="S136" s="82"/>
      <c r="T136" s="10">
        <f t="shared" si="12"/>
        <v>0</v>
      </c>
      <c r="U136" s="10">
        <v>0</v>
      </c>
      <c r="V136" s="10"/>
      <c r="W136" s="10">
        <f t="shared" si="13"/>
        <v>476.14</v>
      </c>
      <c r="X136" s="10">
        <v>476.14</v>
      </c>
      <c r="Y136" s="10"/>
      <c r="Z136" s="28">
        <f t="shared" si="14"/>
        <v>476.14</v>
      </c>
      <c r="AA136" s="31">
        <f t="shared" si="17"/>
        <v>476.14</v>
      </c>
      <c r="AB136" s="28">
        <f t="shared" si="17"/>
        <v>0</v>
      </c>
      <c r="AC136" s="5">
        <f t="shared" si="11"/>
        <v>123.86000000000001</v>
      </c>
      <c r="AE136" s="5"/>
      <c r="AG136" s="5">
        <f t="shared" si="15"/>
        <v>-476.14</v>
      </c>
      <c r="AH136" s="10"/>
      <c r="AI136" s="5">
        <f t="shared" si="16"/>
        <v>-600</v>
      </c>
    </row>
    <row r="137" spans="1:35" ht="31.5">
      <c r="A137" s="134">
        <v>107</v>
      </c>
      <c r="B137" s="172" t="s">
        <v>162</v>
      </c>
      <c r="C137" s="106">
        <v>7430090</v>
      </c>
      <c r="D137" s="158" t="s">
        <v>128</v>
      </c>
      <c r="E137" s="172" t="s">
        <v>224</v>
      </c>
      <c r="F137" s="172">
        <v>876</v>
      </c>
      <c r="G137" s="172" t="s">
        <v>294</v>
      </c>
      <c r="H137" s="172">
        <v>1</v>
      </c>
      <c r="I137" s="144" t="s">
        <v>274</v>
      </c>
      <c r="J137" s="172" t="s">
        <v>161</v>
      </c>
      <c r="K137" s="145">
        <v>6</v>
      </c>
      <c r="L137" s="14" t="s">
        <v>258</v>
      </c>
      <c r="M137" s="14">
        <v>2013</v>
      </c>
      <c r="N137" s="172">
        <v>6</v>
      </c>
      <c r="O137" s="172"/>
      <c r="P137" s="166"/>
      <c r="Q137" s="166"/>
      <c r="R137" s="171" t="s">
        <v>6</v>
      </c>
      <c r="S137" s="82"/>
      <c r="T137" s="10">
        <f t="shared" si="12"/>
        <v>0.24199999999999999</v>
      </c>
      <c r="U137" s="10">
        <v>0</v>
      </c>
      <c r="V137" s="10">
        <v>0.24199999999999999</v>
      </c>
      <c r="W137" s="10">
        <f t="shared" si="13"/>
        <v>9.8970000000000002</v>
      </c>
      <c r="X137" s="10">
        <v>6</v>
      </c>
      <c r="Y137" s="10">
        <f>3.655+0.242</f>
        <v>3.8969999999999998</v>
      </c>
      <c r="Z137" s="28">
        <f t="shared" si="14"/>
        <v>9.6549999999999994</v>
      </c>
      <c r="AA137" s="31">
        <f t="shared" si="17"/>
        <v>6</v>
      </c>
      <c r="AB137" s="28">
        <f t="shared" si="17"/>
        <v>3.6549999999999998</v>
      </c>
      <c r="AC137" s="5">
        <f t="shared" si="11"/>
        <v>0</v>
      </c>
      <c r="AE137" s="5"/>
      <c r="AG137" s="5">
        <f t="shared" si="15"/>
        <v>-6</v>
      </c>
      <c r="AH137" s="10"/>
      <c r="AI137" s="5">
        <f t="shared" si="16"/>
        <v>-6</v>
      </c>
    </row>
    <row r="138" spans="1:35" ht="15.75">
      <c r="A138" s="134">
        <v>108</v>
      </c>
      <c r="B138" s="172" t="s">
        <v>162</v>
      </c>
      <c r="C138" s="106">
        <v>3230040</v>
      </c>
      <c r="D138" s="158" t="s">
        <v>129</v>
      </c>
      <c r="E138" s="172"/>
      <c r="F138" s="172">
        <v>876</v>
      </c>
      <c r="G138" s="172" t="s">
        <v>294</v>
      </c>
      <c r="H138" s="172">
        <v>1</v>
      </c>
      <c r="I138" s="144" t="s">
        <v>274</v>
      </c>
      <c r="J138" s="172" t="s">
        <v>161</v>
      </c>
      <c r="K138" s="145">
        <v>500</v>
      </c>
      <c r="L138" s="14" t="s">
        <v>258</v>
      </c>
      <c r="M138" s="14">
        <v>2013</v>
      </c>
      <c r="N138" s="172">
        <v>6</v>
      </c>
      <c r="O138" s="172"/>
      <c r="P138" s="166"/>
      <c r="Q138" s="166"/>
      <c r="R138" s="171" t="s">
        <v>4</v>
      </c>
      <c r="S138" s="82"/>
      <c r="T138" s="10">
        <f t="shared" si="12"/>
        <v>332.79</v>
      </c>
      <c r="U138" s="10">
        <v>332.79</v>
      </c>
      <c r="V138" s="10"/>
      <c r="W138" s="10">
        <f t="shared" si="13"/>
        <v>352.39</v>
      </c>
      <c r="X138" s="10">
        <v>352.39</v>
      </c>
      <c r="Y138" s="10"/>
      <c r="Z138" s="28">
        <f t="shared" si="14"/>
        <v>19.599999999999966</v>
      </c>
      <c r="AA138" s="31">
        <f t="shared" si="17"/>
        <v>19.599999999999966</v>
      </c>
      <c r="AB138" s="28">
        <f t="shared" si="17"/>
        <v>0</v>
      </c>
      <c r="AC138" s="5">
        <f t="shared" si="11"/>
        <v>147.61000000000001</v>
      </c>
      <c r="AE138" s="5"/>
      <c r="AG138" s="5">
        <f t="shared" si="15"/>
        <v>-19.599999999999966</v>
      </c>
      <c r="AH138" s="10"/>
      <c r="AI138" s="5">
        <f t="shared" si="16"/>
        <v>-500</v>
      </c>
    </row>
    <row r="139" spans="1:35" ht="15.75">
      <c r="A139" s="134">
        <v>109</v>
      </c>
      <c r="B139" s="172" t="s">
        <v>162</v>
      </c>
      <c r="C139" s="106">
        <v>6411010</v>
      </c>
      <c r="D139" s="158" t="s">
        <v>130</v>
      </c>
      <c r="E139" s="172" t="s">
        <v>225</v>
      </c>
      <c r="F139" s="172">
        <v>876</v>
      </c>
      <c r="G139" s="172" t="s">
        <v>294</v>
      </c>
      <c r="H139" s="172">
        <v>1</v>
      </c>
      <c r="I139" s="144" t="s">
        <v>274</v>
      </c>
      <c r="J139" s="172" t="s">
        <v>161</v>
      </c>
      <c r="K139" s="145">
        <f>300+150</f>
        <v>450</v>
      </c>
      <c r="L139" s="14" t="s">
        <v>258</v>
      </c>
      <c r="M139" s="14">
        <v>2013</v>
      </c>
      <c r="N139" s="172">
        <v>6</v>
      </c>
      <c r="O139" s="172"/>
      <c r="P139" s="166"/>
      <c r="Q139" s="166"/>
      <c r="R139" s="171" t="s">
        <v>4</v>
      </c>
      <c r="S139" s="82"/>
      <c r="T139" s="10">
        <f t="shared" si="12"/>
        <v>58.87265</v>
      </c>
      <c r="U139" s="10">
        <v>40</v>
      </c>
      <c r="V139" s="10">
        <v>18.87265</v>
      </c>
      <c r="W139" s="10">
        <f t="shared" si="13"/>
        <v>95.821680000000001</v>
      </c>
      <c r="X139" s="10">
        <v>45</v>
      </c>
      <c r="Y139" s="10">
        <v>50.821680000000001</v>
      </c>
      <c r="Z139" s="28">
        <f t="shared" si="14"/>
        <v>36.94903</v>
      </c>
      <c r="AA139" s="31">
        <f t="shared" si="17"/>
        <v>5</v>
      </c>
      <c r="AB139" s="28">
        <f t="shared" si="17"/>
        <v>31.94903</v>
      </c>
      <c r="AC139" s="5">
        <f t="shared" si="11"/>
        <v>405</v>
      </c>
      <c r="AE139" s="5"/>
      <c r="AG139" s="5">
        <f t="shared" si="15"/>
        <v>-5</v>
      </c>
      <c r="AH139" s="10">
        <f>[1]TDSheet!$J$3379</f>
        <v>318.05</v>
      </c>
      <c r="AI139" s="5">
        <f t="shared" si="16"/>
        <v>-131.94999999999999</v>
      </c>
    </row>
    <row r="140" spans="1:35" ht="15.75">
      <c r="A140" s="134">
        <v>110</v>
      </c>
      <c r="B140" s="172" t="s">
        <v>162</v>
      </c>
      <c r="C140" s="106">
        <v>7220000</v>
      </c>
      <c r="D140" s="158" t="s">
        <v>133</v>
      </c>
      <c r="E140" s="172" t="s">
        <v>226</v>
      </c>
      <c r="F140" s="172">
        <v>876</v>
      </c>
      <c r="G140" s="172" t="s">
        <v>294</v>
      </c>
      <c r="H140" s="172">
        <v>1</v>
      </c>
      <c r="I140" s="144" t="s">
        <v>274</v>
      </c>
      <c r="J140" s="172" t="s">
        <v>161</v>
      </c>
      <c r="K140" s="145">
        <v>100</v>
      </c>
      <c r="L140" s="14" t="s">
        <v>258</v>
      </c>
      <c r="M140" s="14">
        <v>2013</v>
      </c>
      <c r="N140" s="172">
        <v>6</v>
      </c>
      <c r="O140" s="172"/>
      <c r="P140" s="166"/>
      <c r="Q140" s="166"/>
      <c r="R140" s="171" t="s">
        <v>4</v>
      </c>
      <c r="S140" s="82"/>
      <c r="T140" s="10">
        <f t="shared" si="12"/>
        <v>9.9499999999999993</v>
      </c>
      <c r="U140" s="10">
        <v>9.9499999999999993</v>
      </c>
      <c r="V140" s="10"/>
      <c r="W140" s="10">
        <f t="shared" si="13"/>
        <v>9.9499999999999993</v>
      </c>
      <c r="X140" s="10">
        <v>9.9499999999999993</v>
      </c>
      <c r="Y140" s="10"/>
      <c r="Z140" s="28">
        <f t="shared" si="14"/>
        <v>0</v>
      </c>
      <c r="AA140" s="31">
        <f t="shared" si="17"/>
        <v>0</v>
      </c>
      <c r="AB140" s="28">
        <f t="shared" si="17"/>
        <v>0</v>
      </c>
      <c r="AC140" s="5">
        <f t="shared" si="11"/>
        <v>90.05</v>
      </c>
      <c r="AE140" s="5"/>
      <c r="AG140" s="5">
        <f t="shared" si="15"/>
        <v>0</v>
      </c>
      <c r="AH140" s="10"/>
      <c r="AI140" s="5">
        <f t="shared" si="16"/>
        <v>-100</v>
      </c>
    </row>
    <row r="141" spans="1:35" ht="31.5">
      <c r="A141" s="134">
        <v>111</v>
      </c>
      <c r="B141" s="172" t="s">
        <v>162</v>
      </c>
      <c r="C141" s="106">
        <v>1721060</v>
      </c>
      <c r="D141" s="158" t="s">
        <v>67</v>
      </c>
      <c r="E141" s="172" t="s">
        <v>182</v>
      </c>
      <c r="F141" s="172">
        <v>876</v>
      </c>
      <c r="G141" s="172" t="s">
        <v>294</v>
      </c>
      <c r="H141" s="172">
        <v>1</v>
      </c>
      <c r="I141" s="144" t="s">
        <v>274</v>
      </c>
      <c r="J141" s="150" t="s">
        <v>161</v>
      </c>
      <c r="K141" s="145">
        <f>300*10</f>
        <v>3000</v>
      </c>
      <c r="L141" s="14" t="s">
        <v>258</v>
      </c>
      <c r="M141" s="14">
        <v>2013</v>
      </c>
      <c r="N141" s="172">
        <v>5</v>
      </c>
      <c r="O141" s="172"/>
      <c r="P141" s="172"/>
      <c r="Q141" s="172"/>
      <c r="R141" s="85" t="s">
        <v>4</v>
      </c>
      <c r="S141" s="80"/>
      <c r="T141" s="26">
        <f t="shared" si="12"/>
        <v>0</v>
      </c>
      <c r="U141" s="26"/>
      <c r="V141" s="26"/>
      <c r="W141" s="26">
        <f t="shared" si="13"/>
        <v>0</v>
      </c>
      <c r="X141" s="26"/>
      <c r="Y141" s="26"/>
      <c r="Z141" s="28">
        <f t="shared" si="14"/>
        <v>0</v>
      </c>
      <c r="AA141" s="31">
        <f t="shared" si="17"/>
        <v>0</v>
      </c>
      <c r="AB141" s="28">
        <f t="shared" si="17"/>
        <v>0</v>
      </c>
      <c r="AC141" s="5">
        <f t="shared" si="11"/>
        <v>3000</v>
      </c>
      <c r="AE141" s="5">
        <f>K141-AC141</f>
        <v>0</v>
      </c>
      <c r="AG141" s="5">
        <f t="shared" si="15"/>
        <v>0</v>
      </c>
      <c r="AH141" s="10"/>
      <c r="AI141" s="5">
        <f t="shared" si="16"/>
        <v>-3000</v>
      </c>
    </row>
    <row r="142" spans="1:35" ht="32.25" thickBot="1">
      <c r="A142" s="134">
        <v>112</v>
      </c>
      <c r="B142" s="36" t="s">
        <v>162</v>
      </c>
      <c r="C142" s="138">
        <v>755630</v>
      </c>
      <c r="D142" s="159" t="s">
        <v>68</v>
      </c>
      <c r="E142" s="36" t="s">
        <v>207</v>
      </c>
      <c r="F142" s="36">
        <v>876</v>
      </c>
      <c r="G142" s="36" t="s">
        <v>294</v>
      </c>
      <c r="H142" s="36">
        <v>1</v>
      </c>
      <c r="I142" s="151" t="s">
        <v>274</v>
      </c>
      <c r="J142" s="152" t="s">
        <v>161</v>
      </c>
      <c r="K142" s="153">
        <f>(280/3*0.5)*90</f>
        <v>4200</v>
      </c>
      <c r="L142" s="38" t="s">
        <v>258</v>
      </c>
      <c r="M142" s="38">
        <v>2013</v>
      </c>
      <c r="N142" s="36">
        <v>5</v>
      </c>
      <c r="O142" s="36"/>
      <c r="P142" s="36"/>
      <c r="Q142" s="36"/>
      <c r="R142" s="86" t="s">
        <v>4</v>
      </c>
      <c r="S142" s="83"/>
      <c r="T142" s="29">
        <f t="shared" si="12"/>
        <v>0</v>
      </c>
      <c r="U142" s="29"/>
      <c r="V142" s="29"/>
      <c r="W142" s="29">
        <f t="shared" si="13"/>
        <v>0</v>
      </c>
      <c r="X142" s="29"/>
      <c r="Y142" s="29"/>
      <c r="Z142" s="30">
        <f t="shared" si="14"/>
        <v>0</v>
      </c>
      <c r="AA142" s="32">
        <f t="shared" si="17"/>
        <v>0</v>
      </c>
      <c r="AB142" s="30">
        <f t="shared" si="17"/>
        <v>0</v>
      </c>
      <c r="AC142" s="5">
        <f t="shared" si="11"/>
        <v>4200</v>
      </c>
      <c r="AE142" s="5">
        <f>K142-AC142</f>
        <v>0</v>
      </c>
      <c r="AG142" s="5">
        <f t="shared" si="15"/>
        <v>0</v>
      </c>
      <c r="AH142" s="37"/>
      <c r="AI142" s="5">
        <f t="shared" si="16"/>
        <v>-4200</v>
      </c>
    </row>
    <row r="143" spans="1:35" ht="16.5" hidden="1" outlineLevel="1" thickBot="1">
      <c r="A143" s="192" t="s">
        <v>69</v>
      </c>
      <c r="B143" s="193"/>
      <c r="C143" s="193"/>
      <c r="D143" s="160"/>
      <c r="E143" s="154"/>
      <c r="F143" s="154"/>
      <c r="G143" s="154"/>
      <c r="H143" s="154"/>
      <c r="I143" s="155"/>
      <c r="J143" s="154"/>
      <c r="K143" s="139">
        <f>K23+K24+K25+K26+K27+K28+K31+K32+K33++K36+K37+K38+K39+K40+K41+K42+K43+K44+K45+K46+K47+K48+K49+K50+K51+K52+K53+K54+K55+K56+K57+K58+K59+K60+K61+K62+K64+K65+K66+K67+K76+K77+K78++K79+K80+K81+K84+K85+K86+K87+K88+K89+K90+K91+K92+K93+K94+K97+K98+K99+K100+K101+K102+K103+K141+K142+K29+K30+K34++K35+K63+K82+K83+K104+K105+K106+K107+K108+K109+K110+K111+K112+K113+K114+K115+K116+K117+K118+K119+K120+K121+K122+K123+K124+K125+K126+K127+K128+K129+K95+K96+K130+K131+K132+K133+K134+K135+K136+K137+K138+K139+K140</f>
        <v>689699.70370507054</v>
      </c>
      <c r="L143" s="140"/>
      <c r="M143" s="141"/>
      <c r="N143" s="142"/>
      <c r="O143" s="142"/>
      <c r="P143" s="98"/>
      <c r="Q143" s="98"/>
      <c r="R143" s="97"/>
      <c r="S143" s="87">
        <f t="shared" ref="S143:AB143" si="18">S23+S24+S25+S26+S27+S28+S31+S32+S33++S36+S37+S38+S39+S40+S41+S42+S43+S44+S45+S46+S47+S48+S49+S50+S51+S52+S53+S54+S55+S56+S57+S58+S59+S60+S61+S62+S64+S65+S66+S67+S76+S77+S78++S79+S80+S81+S84+S85+S86+S87+S88+S89+S90+S91+S92+S93+S94+S97+S98+S99+S100+S101+S102+S103+S141+S142+S29+S30+S34++S35+S63+S82+S83+S104+S105+S106+S107+S108+S109+S110+S111+S112+S113+S114+S115+S116+S117+S118+S119+S120+S121+S122+S123+S124+S125+S126+S127+S128+S129+S95+S96+S130+S131+S132+S133+S134+S135+S136+S137+S138+S139+S140</f>
        <v>37524.089220000009</v>
      </c>
      <c r="T143" s="49">
        <f t="shared" si="18"/>
        <v>31826.216679999994</v>
      </c>
      <c r="U143" s="49">
        <f t="shared" si="18"/>
        <v>31209.126919999995</v>
      </c>
      <c r="V143" s="49">
        <f t="shared" si="18"/>
        <v>617.08976000000007</v>
      </c>
      <c r="W143" s="49">
        <f t="shared" si="18"/>
        <v>48939.761679999996</v>
      </c>
      <c r="X143" s="49">
        <f t="shared" si="18"/>
        <v>47803.247979999993</v>
      </c>
      <c r="Y143" s="49">
        <f t="shared" si="18"/>
        <v>1136.5137</v>
      </c>
      <c r="Z143" s="52">
        <f t="shared" si="18"/>
        <v>17113.544999999998</v>
      </c>
      <c r="AA143" s="47">
        <f t="shared" si="18"/>
        <v>16594.121060000001</v>
      </c>
      <c r="AB143" s="25">
        <f t="shared" si="18"/>
        <v>519.42394000000002</v>
      </c>
      <c r="AC143" s="5">
        <f t="shared" si="11"/>
        <v>641896.45572507055</v>
      </c>
      <c r="AE143" s="5"/>
      <c r="AG143" s="5">
        <f t="shared" si="15"/>
        <v>-16594.121059999998</v>
      </c>
      <c r="AH143" s="95">
        <f>AH23+AH24+AH25+AH26+AH27+AH28+AH31+AH32+AH33++AH36+AH37+AH38+AH39+AH40+AH41+AH42+AH43+AH44+AH45+AH46+AH47+AH48+AH49+AH50+AH51+AH52+AH53+AH54+AH55+AH56+AH57+AH58+AH59+AH60+AH61+AH62+AH64+AH65+AH66+AH67+AH76+AH77+AH78++AH79+AH80+AH81+AH84+AH85+AH86+AH87+AH88+AH89+AH90+AH91+AH92+AH93+AH94+AH97+AH98+AH99+AH100+AH101+AH102+AH103+AH141+AH142+AH29+AH30+AH34++AH35+AH63+AH82+AH83+AH104+AH105+AH106+AH107+AH108+AH109+AH110+AH111+AH112+AH113+AH114+AH115+AH116+AH117+AH118+AH119+AH120+AH121+AH122+AH123+AH124+AH125+AH126+AH127+AH128+AH129+AH95+AH96+AH130+AH131+AH132+AH133+AH134+AH135+AH136+AH137+AH138+AH139+AH140</f>
        <v>557808.07000000018</v>
      </c>
      <c r="AI143" s="5">
        <f t="shared" si="16"/>
        <v>-131891.63370507036</v>
      </c>
    </row>
    <row r="144" spans="1:35" ht="32.25" hidden="1" outlineLevel="2" thickBot="1">
      <c r="A144" s="131">
        <v>113</v>
      </c>
      <c r="B144" s="101" t="s">
        <v>162</v>
      </c>
      <c r="C144" s="104">
        <v>3410330</v>
      </c>
      <c r="D144" s="161" t="s">
        <v>248</v>
      </c>
      <c r="E144" s="101" t="s">
        <v>182</v>
      </c>
      <c r="F144" s="101">
        <v>796</v>
      </c>
      <c r="G144" s="101" t="s">
        <v>257</v>
      </c>
      <c r="H144" s="101">
        <f>12</f>
        <v>12</v>
      </c>
      <c r="I144" s="132" t="s">
        <v>274</v>
      </c>
      <c r="J144" s="156" t="s">
        <v>161</v>
      </c>
      <c r="K144" s="143"/>
      <c r="L144" s="100" t="s">
        <v>258</v>
      </c>
      <c r="M144" s="100">
        <v>2013</v>
      </c>
      <c r="N144" s="101">
        <v>6</v>
      </c>
      <c r="O144" s="101"/>
      <c r="P144" s="101"/>
      <c r="Q144" s="101"/>
      <c r="R144" s="102" t="s">
        <v>4</v>
      </c>
      <c r="S144" s="83"/>
      <c r="T144" s="29">
        <f>U144+V144</f>
        <v>0</v>
      </c>
      <c r="U144" s="29"/>
      <c r="V144" s="29"/>
      <c r="W144" s="29">
        <f>X144++Y144</f>
        <v>0</v>
      </c>
      <c r="X144" s="29"/>
      <c r="Y144" s="29"/>
      <c r="Z144" s="30">
        <f>AA144+AB144</f>
        <v>0</v>
      </c>
      <c r="AA144" s="32">
        <f>X144-U144</f>
        <v>0</v>
      </c>
      <c r="AB144" s="30">
        <f>Y144-V144</f>
        <v>0</v>
      </c>
      <c r="AC144" s="5">
        <f>K144-X144</f>
        <v>0</v>
      </c>
      <c r="AE144" s="5">
        <f>K144-AC144</f>
        <v>0</v>
      </c>
      <c r="AG144" s="5">
        <f>U144-X144</f>
        <v>0</v>
      </c>
      <c r="AH144" s="99"/>
      <c r="AI144" s="5">
        <f t="shared" si="16"/>
        <v>0</v>
      </c>
    </row>
    <row r="145" spans="1:35" ht="31.5" hidden="1" outlineLevel="2">
      <c r="A145" s="134">
        <v>114</v>
      </c>
      <c r="B145" s="172" t="s">
        <v>229</v>
      </c>
      <c r="C145" s="105">
        <v>3410010</v>
      </c>
      <c r="D145" s="161" t="s">
        <v>249</v>
      </c>
      <c r="E145" s="172" t="s">
        <v>182</v>
      </c>
      <c r="F145" s="172">
        <v>796</v>
      </c>
      <c r="G145" s="172" t="s">
        <v>257</v>
      </c>
      <c r="H145" s="172">
        <f>12+5</f>
        <v>17</v>
      </c>
      <c r="I145" s="144" t="s">
        <v>274</v>
      </c>
      <c r="J145" s="150" t="s">
        <v>161</v>
      </c>
      <c r="K145" s="145"/>
      <c r="L145" s="14" t="s">
        <v>258</v>
      </c>
      <c r="M145" s="14">
        <v>2013</v>
      </c>
      <c r="N145" s="172">
        <v>6</v>
      </c>
      <c r="O145" s="172"/>
      <c r="P145" s="172"/>
      <c r="Q145" s="172"/>
      <c r="R145" s="85" t="s">
        <v>4</v>
      </c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5"/>
      <c r="AE145" s="5"/>
      <c r="AG145" s="5"/>
      <c r="AH145" s="10"/>
      <c r="AI145" s="5">
        <f t="shared" si="16"/>
        <v>0</v>
      </c>
    </row>
    <row r="146" spans="1:35" ht="31.5" hidden="1" outlineLevel="2">
      <c r="A146" s="134">
        <v>115</v>
      </c>
      <c r="B146" s="172" t="s">
        <v>230</v>
      </c>
      <c r="C146" s="105">
        <v>2920000</v>
      </c>
      <c r="D146" s="161" t="s">
        <v>250</v>
      </c>
      <c r="E146" s="172" t="s">
        <v>182</v>
      </c>
      <c r="F146" s="172">
        <v>796</v>
      </c>
      <c r="G146" s="172" t="s">
        <v>257</v>
      </c>
      <c r="H146" s="172">
        <f>4</f>
        <v>4</v>
      </c>
      <c r="I146" s="144" t="s">
        <v>274</v>
      </c>
      <c r="J146" s="150" t="s">
        <v>161</v>
      </c>
      <c r="K146" s="145"/>
      <c r="L146" s="14" t="s">
        <v>258</v>
      </c>
      <c r="M146" s="14">
        <v>2013</v>
      </c>
      <c r="N146" s="172">
        <v>6</v>
      </c>
      <c r="O146" s="172"/>
      <c r="P146" s="172"/>
      <c r="Q146" s="172"/>
      <c r="R146" s="85" t="s">
        <v>4</v>
      </c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5"/>
      <c r="AE146" s="5"/>
      <c r="AG146" s="5"/>
      <c r="AH146" s="10"/>
      <c r="AI146" s="5">
        <f t="shared" si="16"/>
        <v>0</v>
      </c>
    </row>
    <row r="147" spans="1:35" ht="31.5" hidden="1" outlineLevel="2">
      <c r="A147" s="134">
        <v>116</v>
      </c>
      <c r="B147" s="172" t="s">
        <v>231</v>
      </c>
      <c r="C147" s="105">
        <v>2920000</v>
      </c>
      <c r="D147" s="161" t="s">
        <v>251</v>
      </c>
      <c r="E147" s="172" t="s">
        <v>182</v>
      </c>
      <c r="F147" s="172">
        <v>796</v>
      </c>
      <c r="G147" s="172" t="s">
        <v>257</v>
      </c>
      <c r="H147" s="172">
        <f>6</f>
        <v>6</v>
      </c>
      <c r="I147" s="144" t="s">
        <v>274</v>
      </c>
      <c r="J147" s="150" t="s">
        <v>161</v>
      </c>
      <c r="K147" s="145"/>
      <c r="L147" s="14" t="s">
        <v>258</v>
      </c>
      <c r="M147" s="14">
        <v>2013</v>
      </c>
      <c r="N147" s="172">
        <v>6</v>
      </c>
      <c r="O147" s="172"/>
      <c r="P147" s="172"/>
      <c r="Q147" s="172"/>
      <c r="R147" s="85" t="s">
        <v>4</v>
      </c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5"/>
      <c r="AE147" s="5"/>
      <c r="AG147" s="5"/>
      <c r="AH147" s="10"/>
      <c r="AI147" s="5">
        <f t="shared" si="16"/>
        <v>0</v>
      </c>
    </row>
    <row r="148" spans="1:35" ht="31.5" hidden="1" outlineLevel="2">
      <c r="A148" s="134">
        <v>117</v>
      </c>
      <c r="B148" s="172" t="s">
        <v>232</v>
      </c>
      <c r="C148" s="105">
        <v>2920000</v>
      </c>
      <c r="D148" s="161" t="s">
        <v>252</v>
      </c>
      <c r="E148" s="172" t="s">
        <v>182</v>
      </c>
      <c r="F148" s="172">
        <v>796</v>
      </c>
      <c r="G148" s="172" t="s">
        <v>257</v>
      </c>
      <c r="H148" s="172">
        <f>6</f>
        <v>6</v>
      </c>
      <c r="I148" s="144" t="s">
        <v>274</v>
      </c>
      <c r="J148" s="150" t="s">
        <v>161</v>
      </c>
      <c r="K148" s="145"/>
      <c r="L148" s="14" t="s">
        <v>258</v>
      </c>
      <c r="M148" s="14">
        <v>2013</v>
      </c>
      <c r="N148" s="172">
        <v>6</v>
      </c>
      <c r="O148" s="172"/>
      <c r="P148" s="172"/>
      <c r="Q148" s="172"/>
      <c r="R148" s="85" t="s">
        <v>4</v>
      </c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5"/>
      <c r="AE148" s="5"/>
      <c r="AG148" s="5"/>
      <c r="AH148" s="10"/>
      <c r="AI148" s="5">
        <f t="shared" si="16"/>
        <v>0</v>
      </c>
    </row>
    <row r="149" spans="1:35" ht="31.5" hidden="1" outlineLevel="2">
      <c r="A149" s="134">
        <v>118</v>
      </c>
      <c r="B149" s="172" t="s">
        <v>233</v>
      </c>
      <c r="C149" s="105">
        <v>3410040</v>
      </c>
      <c r="D149" s="161" t="s">
        <v>253</v>
      </c>
      <c r="E149" s="172" t="s">
        <v>182</v>
      </c>
      <c r="F149" s="172">
        <v>796</v>
      </c>
      <c r="G149" s="172" t="s">
        <v>257</v>
      </c>
      <c r="H149" s="172">
        <f>9</f>
        <v>9</v>
      </c>
      <c r="I149" s="144" t="s">
        <v>274</v>
      </c>
      <c r="J149" s="150" t="s">
        <v>161</v>
      </c>
      <c r="K149" s="145"/>
      <c r="L149" s="14" t="s">
        <v>258</v>
      </c>
      <c r="M149" s="14">
        <v>2013</v>
      </c>
      <c r="N149" s="172">
        <v>6</v>
      </c>
      <c r="O149" s="172"/>
      <c r="P149" s="172"/>
      <c r="Q149" s="172"/>
      <c r="R149" s="85" t="s">
        <v>4</v>
      </c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5"/>
      <c r="AE149" s="5"/>
      <c r="AG149" s="5"/>
      <c r="AH149" s="10"/>
      <c r="AI149" s="5">
        <f t="shared" si="16"/>
        <v>0</v>
      </c>
    </row>
    <row r="150" spans="1:35" ht="31.5" hidden="1" outlineLevel="2">
      <c r="A150" s="134">
        <v>119</v>
      </c>
      <c r="B150" s="172" t="s">
        <v>234</v>
      </c>
      <c r="C150" s="105">
        <v>3410040</v>
      </c>
      <c r="D150" s="161" t="s">
        <v>254</v>
      </c>
      <c r="E150" s="172" t="s">
        <v>182</v>
      </c>
      <c r="F150" s="172">
        <v>796</v>
      </c>
      <c r="G150" s="172" t="s">
        <v>257</v>
      </c>
      <c r="H150" s="172">
        <f>9</f>
        <v>9</v>
      </c>
      <c r="I150" s="144" t="s">
        <v>274</v>
      </c>
      <c r="J150" s="150" t="s">
        <v>161</v>
      </c>
      <c r="K150" s="145"/>
      <c r="L150" s="14" t="s">
        <v>258</v>
      </c>
      <c r="M150" s="14">
        <v>2013</v>
      </c>
      <c r="N150" s="172">
        <v>6</v>
      </c>
      <c r="O150" s="172"/>
      <c r="P150" s="172"/>
      <c r="Q150" s="172"/>
      <c r="R150" s="85" t="s">
        <v>4</v>
      </c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5"/>
      <c r="AE150" s="5"/>
      <c r="AG150" s="5"/>
      <c r="AH150" s="10"/>
      <c r="AI150" s="5">
        <f t="shared" si="16"/>
        <v>0</v>
      </c>
    </row>
    <row r="151" spans="1:35" ht="31.5" hidden="1" outlineLevel="2">
      <c r="A151" s="134">
        <v>120</v>
      </c>
      <c r="B151" s="172" t="s">
        <v>235</v>
      </c>
      <c r="C151" s="105">
        <v>3410040</v>
      </c>
      <c r="D151" s="161" t="s">
        <v>259</v>
      </c>
      <c r="E151" s="172" t="s">
        <v>182</v>
      </c>
      <c r="F151" s="172">
        <v>796</v>
      </c>
      <c r="G151" s="172" t="s">
        <v>257</v>
      </c>
      <c r="H151" s="172">
        <f>3</f>
        <v>3</v>
      </c>
      <c r="I151" s="144" t="s">
        <v>274</v>
      </c>
      <c r="J151" s="150" t="s">
        <v>161</v>
      </c>
      <c r="K151" s="145"/>
      <c r="L151" s="14" t="s">
        <v>258</v>
      </c>
      <c r="M151" s="14">
        <v>2013</v>
      </c>
      <c r="N151" s="172">
        <v>6</v>
      </c>
      <c r="O151" s="172"/>
      <c r="P151" s="172"/>
      <c r="Q151" s="172"/>
      <c r="R151" s="85" t="s">
        <v>4</v>
      </c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5"/>
      <c r="AE151" s="5"/>
      <c r="AG151" s="5"/>
      <c r="AH151" s="10"/>
      <c r="AI151" s="5">
        <f t="shared" si="16"/>
        <v>0</v>
      </c>
    </row>
    <row r="152" spans="1:35" ht="31.5" hidden="1" outlineLevel="2">
      <c r="A152" s="134">
        <v>121</v>
      </c>
      <c r="B152" s="172" t="s">
        <v>235</v>
      </c>
      <c r="C152" s="105">
        <v>3410040</v>
      </c>
      <c r="D152" s="161" t="s">
        <v>260</v>
      </c>
      <c r="E152" s="172" t="s">
        <v>182</v>
      </c>
      <c r="F152" s="172">
        <v>796</v>
      </c>
      <c r="G152" s="172" t="s">
        <v>257</v>
      </c>
      <c r="H152" s="172">
        <f>3</f>
        <v>3</v>
      </c>
      <c r="I152" s="144" t="s">
        <v>274</v>
      </c>
      <c r="J152" s="150" t="s">
        <v>161</v>
      </c>
      <c r="K152" s="145"/>
      <c r="L152" s="14" t="s">
        <v>258</v>
      </c>
      <c r="M152" s="14">
        <v>2013</v>
      </c>
      <c r="N152" s="172">
        <v>6</v>
      </c>
      <c r="O152" s="172"/>
      <c r="P152" s="172"/>
      <c r="Q152" s="172"/>
      <c r="R152" s="85" t="s">
        <v>4</v>
      </c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5"/>
      <c r="AE152" s="5"/>
      <c r="AG152" s="5"/>
      <c r="AH152" s="10"/>
      <c r="AI152" s="5">
        <f t="shared" si="16"/>
        <v>0</v>
      </c>
    </row>
    <row r="153" spans="1:35" ht="31.5" hidden="1" outlineLevel="2">
      <c r="A153" s="134">
        <v>122</v>
      </c>
      <c r="B153" s="172" t="s">
        <v>235</v>
      </c>
      <c r="C153" s="105">
        <v>2920000</v>
      </c>
      <c r="D153" s="161" t="s">
        <v>264</v>
      </c>
      <c r="E153" s="172" t="s">
        <v>182</v>
      </c>
      <c r="F153" s="172">
        <v>796</v>
      </c>
      <c r="G153" s="172" t="s">
        <v>257</v>
      </c>
      <c r="H153" s="172">
        <f>2</f>
        <v>2</v>
      </c>
      <c r="I153" s="144" t="s">
        <v>274</v>
      </c>
      <c r="J153" s="150" t="s">
        <v>161</v>
      </c>
      <c r="K153" s="145"/>
      <c r="L153" s="14" t="s">
        <v>258</v>
      </c>
      <c r="M153" s="14">
        <v>2013</v>
      </c>
      <c r="N153" s="172">
        <v>6</v>
      </c>
      <c r="O153" s="172"/>
      <c r="P153" s="172"/>
      <c r="Q153" s="172"/>
      <c r="R153" s="85" t="s">
        <v>4</v>
      </c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5"/>
      <c r="AE153" s="5"/>
      <c r="AG153" s="5"/>
      <c r="AH153" s="10"/>
      <c r="AI153" s="5">
        <f t="shared" si="16"/>
        <v>0</v>
      </c>
    </row>
    <row r="154" spans="1:35" ht="31.5" hidden="1" outlineLevel="2">
      <c r="A154" s="134">
        <v>123</v>
      </c>
      <c r="B154" s="172" t="s">
        <v>236</v>
      </c>
      <c r="C154" s="105">
        <v>2920000</v>
      </c>
      <c r="D154" s="161" t="s">
        <v>255</v>
      </c>
      <c r="E154" s="172" t="s">
        <v>182</v>
      </c>
      <c r="F154" s="172">
        <v>796</v>
      </c>
      <c r="G154" s="172" t="s">
        <v>257</v>
      </c>
      <c r="H154" s="172">
        <f>9</f>
        <v>9</v>
      </c>
      <c r="I154" s="144" t="s">
        <v>274</v>
      </c>
      <c r="J154" s="150" t="s">
        <v>161</v>
      </c>
      <c r="K154" s="145"/>
      <c r="L154" s="14" t="s">
        <v>258</v>
      </c>
      <c r="M154" s="14">
        <v>2013</v>
      </c>
      <c r="N154" s="172">
        <v>6</v>
      </c>
      <c r="O154" s="172"/>
      <c r="P154" s="172"/>
      <c r="Q154" s="172"/>
      <c r="R154" s="85" t="s">
        <v>4</v>
      </c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5"/>
      <c r="AE154" s="5"/>
      <c r="AG154" s="5"/>
      <c r="AH154" s="10"/>
      <c r="AI154" s="5">
        <f t="shared" si="16"/>
        <v>0</v>
      </c>
    </row>
    <row r="155" spans="1:35" ht="31.5" hidden="1" outlineLevel="2">
      <c r="A155" s="134">
        <v>124</v>
      </c>
      <c r="B155" s="172" t="s">
        <v>236</v>
      </c>
      <c r="C155" s="105">
        <v>2920000</v>
      </c>
      <c r="D155" s="161" t="s">
        <v>255</v>
      </c>
      <c r="E155" s="172" t="s">
        <v>182</v>
      </c>
      <c r="F155" s="172">
        <v>796</v>
      </c>
      <c r="G155" s="172" t="s">
        <v>257</v>
      </c>
      <c r="H155" s="172">
        <f>9</f>
        <v>9</v>
      </c>
      <c r="I155" s="144" t="s">
        <v>274</v>
      </c>
      <c r="J155" s="150" t="s">
        <v>161</v>
      </c>
      <c r="K155" s="145"/>
      <c r="L155" s="14" t="s">
        <v>258</v>
      </c>
      <c r="M155" s="14">
        <v>2013</v>
      </c>
      <c r="N155" s="172">
        <v>6</v>
      </c>
      <c r="O155" s="172"/>
      <c r="P155" s="172"/>
      <c r="Q155" s="172"/>
      <c r="R155" s="85" t="s">
        <v>4</v>
      </c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5"/>
      <c r="AE155" s="5"/>
      <c r="AG155" s="5"/>
      <c r="AH155" s="10"/>
      <c r="AI155" s="5">
        <f t="shared" ref="AI155:AI168" si="19">AH155-K155</f>
        <v>0</v>
      </c>
    </row>
    <row r="156" spans="1:35" ht="31.5" hidden="1" outlineLevel="2">
      <c r="A156" s="134">
        <v>125</v>
      </c>
      <c r="B156" s="172" t="s">
        <v>237</v>
      </c>
      <c r="C156" s="105">
        <v>3410040</v>
      </c>
      <c r="D156" s="161" t="s">
        <v>256</v>
      </c>
      <c r="E156" s="172" t="s">
        <v>182</v>
      </c>
      <c r="F156" s="172">
        <v>796</v>
      </c>
      <c r="G156" s="172" t="s">
        <v>257</v>
      </c>
      <c r="H156" s="172">
        <f>5</f>
        <v>5</v>
      </c>
      <c r="I156" s="144" t="s">
        <v>274</v>
      </c>
      <c r="J156" s="150" t="s">
        <v>161</v>
      </c>
      <c r="K156" s="145"/>
      <c r="L156" s="14" t="s">
        <v>258</v>
      </c>
      <c r="M156" s="14">
        <v>2013</v>
      </c>
      <c r="N156" s="172">
        <v>6</v>
      </c>
      <c r="O156" s="172"/>
      <c r="P156" s="172"/>
      <c r="Q156" s="172"/>
      <c r="R156" s="85" t="s">
        <v>4</v>
      </c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5"/>
      <c r="AE156" s="5"/>
      <c r="AG156" s="5"/>
      <c r="AH156" s="10"/>
      <c r="AI156" s="5">
        <f t="shared" si="19"/>
        <v>0</v>
      </c>
    </row>
    <row r="157" spans="1:35" ht="31.5" hidden="1" outlineLevel="2">
      <c r="A157" s="134">
        <v>126</v>
      </c>
      <c r="B157" s="172" t="s">
        <v>238</v>
      </c>
      <c r="C157" s="106">
        <v>2921012</v>
      </c>
      <c r="D157" s="162" t="s">
        <v>265</v>
      </c>
      <c r="E157" s="172" t="s">
        <v>182</v>
      </c>
      <c r="F157" s="172">
        <v>796</v>
      </c>
      <c r="G157" s="172" t="s">
        <v>257</v>
      </c>
      <c r="H157" s="172">
        <f>4</f>
        <v>4</v>
      </c>
      <c r="I157" s="144" t="s">
        <v>274</v>
      </c>
      <c r="J157" s="150" t="s">
        <v>161</v>
      </c>
      <c r="K157" s="145"/>
      <c r="L157" s="14" t="s">
        <v>258</v>
      </c>
      <c r="M157" s="14">
        <v>2013</v>
      </c>
      <c r="N157" s="172">
        <v>6</v>
      </c>
      <c r="O157" s="172"/>
      <c r="P157" s="172"/>
      <c r="Q157" s="172"/>
      <c r="R157" s="85" t="s">
        <v>4</v>
      </c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5"/>
      <c r="AE157" s="5"/>
      <c r="AG157" s="5"/>
      <c r="AH157" s="10"/>
      <c r="AI157" s="5">
        <f t="shared" si="19"/>
        <v>0</v>
      </c>
    </row>
    <row r="158" spans="1:35" ht="31.5" hidden="1" outlineLevel="2">
      <c r="A158" s="134">
        <v>127</v>
      </c>
      <c r="B158" s="172" t="s">
        <v>239</v>
      </c>
      <c r="C158" s="106">
        <v>2920000</v>
      </c>
      <c r="D158" s="158" t="s">
        <v>266</v>
      </c>
      <c r="E158" s="172" t="s">
        <v>182</v>
      </c>
      <c r="F158" s="172">
        <v>796</v>
      </c>
      <c r="G158" s="172" t="s">
        <v>257</v>
      </c>
      <c r="H158" s="172">
        <f>3</f>
        <v>3</v>
      </c>
      <c r="I158" s="144" t="s">
        <v>274</v>
      </c>
      <c r="J158" s="150" t="s">
        <v>161</v>
      </c>
      <c r="K158" s="145"/>
      <c r="L158" s="14" t="s">
        <v>258</v>
      </c>
      <c r="M158" s="14">
        <v>2013</v>
      </c>
      <c r="N158" s="172">
        <v>6</v>
      </c>
      <c r="O158" s="172"/>
      <c r="P158" s="172"/>
      <c r="Q158" s="172"/>
      <c r="R158" s="85" t="s">
        <v>4</v>
      </c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5"/>
      <c r="AE158" s="5"/>
      <c r="AG158" s="5"/>
      <c r="AH158" s="10"/>
      <c r="AI158" s="5">
        <f t="shared" si="19"/>
        <v>0</v>
      </c>
    </row>
    <row r="159" spans="1:35" ht="31.5" hidden="1" outlineLevel="2">
      <c r="A159" s="134">
        <v>128</v>
      </c>
      <c r="B159" s="172" t="s">
        <v>240</v>
      </c>
      <c r="C159" s="106"/>
      <c r="D159" s="158"/>
      <c r="E159" s="172" t="s">
        <v>182</v>
      </c>
      <c r="F159" s="172">
        <v>796</v>
      </c>
      <c r="G159" s="172" t="s">
        <v>257</v>
      </c>
      <c r="H159" s="172"/>
      <c r="I159" s="144" t="s">
        <v>274</v>
      </c>
      <c r="J159" s="150" t="s">
        <v>161</v>
      </c>
      <c r="K159" s="145"/>
      <c r="L159" s="14" t="s">
        <v>258</v>
      </c>
      <c r="M159" s="14">
        <v>2013</v>
      </c>
      <c r="N159" s="172">
        <v>6</v>
      </c>
      <c r="O159" s="172"/>
      <c r="P159" s="172"/>
      <c r="Q159" s="172"/>
      <c r="R159" s="85" t="s">
        <v>4</v>
      </c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5"/>
      <c r="AE159" s="5"/>
      <c r="AG159" s="5"/>
      <c r="AH159" s="10"/>
      <c r="AI159" s="5">
        <f t="shared" si="19"/>
        <v>0</v>
      </c>
    </row>
    <row r="160" spans="1:35" ht="31.5" hidden="1" outlineLevel="2">
      <c r="A160" s="134">
        <v>129</v>
      </c>
      <c r="B160" s="172" t="s">
        <v>241</v>
      </c>
      <c r="C160" s="106"/>
      <c r="D160" s="158"/>
      <c r="E160" s="172" t="s">
        <v>182</v>
      </c>
      <c r="F160" s="172">
        <v>796</v>
      </c>
      <c r="G160" s="172" t="s">
        <v>257</v>
      </c>
      <c r="H160" s="172"/>
      <c r="I160" s="144" t="s">
        <v>274</v>
      </c>
      <c r="J160" s="150" t="s">
        <v>161</v>
      </c>
      <c r="K160" s="145"/>
      <c r="L160" s="14" t="s">
        <v>258</v>
      </c>
      <c r="M160" s="14">
        <v>2013</v>
      </c>
      <c r="N160" s="172">
        <v>6</v>
      </c>
      <c r="O160" s="172"/>
      <c r="P160" s="172"/>
      <c r="Q160" s="172"/>
      <c r="R160" s="85" t="s">
        <v>4</v>
      </c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5"/>
      <c r="AE160" s="5"/>
      <c r="AG160" s="5"/>
      <c r="AH160" s="10"/>
      <c r="AI160" s="5">
        <f t="shared" si="19"/>
        <v>0</v>
      </c>
    </row>
    <row r="161" spans="1:35" ht="31.5" hidden="1" outlineLevel="2">
      <c r="A161" s="134">
        <v>130</v>
      </c>
      <c r="B161" s="172" t="s">
        <v>242</v>
      </c>
      <c r="C161" s="106"/>
      <c r="D161" s="158"/>
      <c r="E161" s="172" t="s">
        <v>182</v>
      </c>
      <c r="F161" s="172">
        <v>796</v>
      </c>
      <c r="G161" s="172" t="s">
        <v>257</v>
      </c>
      <c r="H161" s="172"/>
      <c r="I161" s="144" t="s">
        <v>274</v>
      </c>
      <c r="J161" s="150" t="s">
        <v>161</v>
      </c>
      <c r="K161" s="145"/>
      <c r="L161" s="14" t="s">
        <v>258</v>
      </c>
      <c r="M161" s="14">
        <v>2013</v>
      </c>
      <c r="N161" s="172">
        <v>6</v>
      </c>
      <c r="O161" s="172"/>
      <c r="P161" s="172"/>
      <c r="Q161" s="172"/>
      <c r="R161" s="85" t="s">
        <v>4</v>
      </c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5"/>
      <c r="AE161" s="5"/>
      <c r="AG161" s="5"/>
      <c r="AH161" s="10"/>
      <c r="AI161" s="5">
        <f t="shared" si="19"/>
        <v>0</v>
      </c>
    </row>
    <row r="162" spans="1:35" ht="31.5" hidden="1" outlineLevel="2">
      <c r="A162" s="134">
        <v>131</v>
      </c>
      <c r="B162" s="172" t="s">
        <v>243</v>
      </c>
      <c r="C162" s="106"/>
      <c r="D162" s="158"/>
      <c r="E162" s="172" t="s">
        <v>182</v>
      </c>
      <c r="F162" s="172">
        <v>796</v>
      </c>
      <c r="G162" s="172" t="s">
        <v>257</v>
      </c>
      <c r="H162" s="172"/>
      <c r="I162" s="144" t="s">
        <v>274</v>
      </c>
      <c r="J162" s="150" t="s">
        <v>161</v>
      </c>
      <c r="K162" s="145"/>
      <c r="L162" s="14" t="s">
        <v>258</v>
      </c>
      <c r="M162" s="14">
        <v>2013</v>
      </c>
      <c r="N162" s="172">
        <v>6</v>
      </c>
      <c r="O162" s="172"/>
      <c r="P162" s="172"/>
      <c r="Q162" s="172"/>
      <c r="R162" s="85" t="s">
        <v>4</v>
      </c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5"/>
      <c r="AE162" s="5"/>
      <c r="AG162" s="5"/>
      <c r="AH162" s="10"/>
      <c r="AI162" s="5">
        <f t="shared" si="19"/>
        <v>0</v>
      </c>
    </row>
    <row r="163" spans="1:35" ht="31.5" hidden="1" outlineLevel="2">
      <c r="A163" s="134">
        <v>132</v>
      </c>
      <c r="B163" s="172" t="s">
        <v>244</v>
      </c>
      <c r="C163" s="106"/>
      <c r="D163" s="158"/>
      <c r="E163" s="172" t="s">
        <v>182</v>
      </c>
      <c r="F163" s="172">
        <v>796</v>
      </c>
      <c r="G163" s="172" t="s">
        <v>257</v>
      </c>
      <c r="H163" s="172"/>
      <c r="I163" s="144" t="s">
        <v>274</v>
      </c>
      <c r="J163" s="150" t="s">
        <v>161</v>
      </c>
      <c r="K163" s="145"/>
      <c r="L163" s="14" t="s">
        <v>258</v>
      </c>
      <c r="M163" s="14">
        <v>2013</v>
      </c>
      <c r="N163" s="172">
        <v>6</v>
      </c>
      <c r="O163" s="172"/>
      <c r="P163" s="172"/>
      <c r="Q163" s="172"/>
      <c r="R163" s="85" t="s">
        <v>4</v>
      </c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5"/>
      <c r="AE163" s="5"/>
      <c r="AG163" s="5"/>
      <c r="AH163" s="10"/>
      <c r="AI163" s="5">
        <f t="shared" si="19"/>
        <v>0</v>
      </c>
    </row>
    <row r="164" spans="1:35" ht="31.5" hidden="1" outlineLevel="2">
      <c r="A164" s="134">
        <v>133</v>
      </c>
      <c r="B164" s="172" t="s">
        <v>245</v>
      </c>
      <c r="C164" s="106"/>
      <c r="D164" s="158"/>
      <c r="E164" s="172" t="s">
        <v>182</v>
      </c>
      <c r="F164" s="172">
        <v>796</v>
      </c>
      <c r="G164" s="172" t="s">
        <v>257</v>
      </c>
      <c r="H164" s="172"/>
      <c r="I164" s="144" t="s">
        <v>274</v>
      </c>
      <c r="J164" s="150" t="s">
        <v>161</v>
      </c>
      <c r="K164" s="145"/>
      <c r="L164" s="14" t="s">
        <v>258</v>
      </c>
      <c r="M164" s="14">
        <v>2013</v>
      </c>
      <c r="N164" s="172">
        <v>6</v>
      </c>
      <c r="O164" s="172"/>
      <c r="P164" s="172"/>
      <c r="Q164" s="172"/>
      <c r="R164" s="85" t="s">
        <v>4</v>
      </c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5"/>
      <c r="AE164" s="5"/>
      <c r="AG164" s="5"/>
      <c r="AH164" s="10"/>
      <c r="AI164" s="5">
        <f t="shared" si="19"/>
        <v>0</v>
      </c>
    </row>
    <row r="165" spans="1:35" ht="31.5" hidden="1" outlineLevel="2">
      <c r="A165" s="134">
        <v>134</v>
      </c>
      <c r="B165" s="172" t="s">
        <v>246</v>
      </c>
      <c r="C165" s="106"/>
      <c r="D165" s="158"/>
      <c r="E165" s="172" t="s">
        <v>182</v>
      </c>
      <c r="F165" s="172">
        <v>796</v>
      </c>
      <c r="G165" s="172" t="s">
        <v>257</v>
      </c>
      <c r="H165" s="172"/>
      <c r="I165" s="144" t="s">
        <v>274</v>
      </c>
      <c r="J165" s="150" t="s">
        <v>161</v>
      </c>
      <c r="K165" s="145"/>
      <c r="L165" s="14" t="s">
        <v>258</v>
      </c>
      <c r="M165" s="14">
        <v>2013</v>
      </c>
      <c r="N165" s="172">
        <v>6</v>
      </c>
      <c r="O165" s="172"/>
      <c r="P165" s="172"/>
      <c r="Q165" s="172"/>
      <c r="R165" s="85" t="s">
        <v>4</v>
      </c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5"/>
      <c r="AE165" s="5"/>
      <c r="AG165" s="5"/>
      <c r="AH165" s="10"/>
      <c r="AI165" s="5">
        <f t="shared" si="19"/>
        <v>0</v>
      </c>
    </row>
    <row r="166" spans="1:35" ht="32.25" hidden="1" outlineLevel="2" thickBot="1">
      <c r="A166" s="134">
        <v>135</v>
      </c>
      <c r="B166" s="172" t="s">
        <v>247</v>
      </c>
      <c r="C166" s="106"/>
      <c r="D166" s="158"/>
      <c r="E166" s="172" t="s">
        <v>182</v>
      </c>
      <c r="F166" s="172">
        <v>796</v>
      </c>
      <c r="G166" s="172" t="s">
        <v>257</v>
      </c>
      <c r="H166" s="172"/>
      <c r="I166" s="144" t="s">
        <v>274</v>
      </c>
      <c r="J166" s="150" t="s">
        <v>161</v>
      </c>
      <c r="K166" s="145"/>
      <c r="L166" s="14" t="s">
        <v>258</v>
      </c>
      <c r="M166" s="14">
        <v>2013</v>
      </c>
      <c r="N166" s="172">
        <v>6</v>
      </c>
      <c r="O166" s="172"/>
      <c r="P166" s="172"/>
      <c r="Q166" s="172"/>
      <c r="R166" s="85" t="s">
        <v>4</v>
      </c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5"/>
      <c r="AE166" s="5"/>
      <c r="AG166" s="5"/>
      <c r="AH166" s="10"/>
      <c r="AI166" s="5">
        <f t="shared" si="19"/>
        <v>0</v>
      </c>
    </row>
    <row r="167" spans="1:35" ht="16.5" hidden="1" outlineLevel="1" collapsed="1" thickBot="1">
      <c r="A167" s="189" t="s">
        <v>69</v>
      </c>
      <c r="B167" s="190"/>
      <c r="C167" s="190"/>
      <c r="D167" s="93"/>
      <c r="E167" s="110"/>
      <c r="F167" s="110"/>
      <c r="G167" s="110"/>
      <c r="H167" s="110"/>
      <c r="I167" s="118"/>
      <c r="J167" s="110"/>
      <c r="K167" s="95">
        <f>SUM(K144:K166)</f>
        <v>0</v>
      </c>
      <c r="L167" s="96"/>
      <c r="M167" s="97"/>
      <c r="N167" s="98"/>
      <c r="O167" s="98"/>
      <c r="P167" s="98"/>
      <c r="Q167" s="98"/>
      <c r="R167" s="97"/>
      <c r="S167" s="87">
        <f t="shared" ref="S167:AB167" si="20">S46+S47+S48+S49+S50+S51+S54+S55+S56++S59+S60+S61+S62+S63+S64+S65+S66+S67+S68+S69+S70+S71+S72+S73+S74+S75+S76+S77+S78+S79+S80+S81+S82+S83+S84+S85+S87+S88+S89+S90+S99+S100+S101++S102+S103+S104+S107+S108+S109+S110+S111+S112+S113+S114+S115+S116+S117+S120+S121+S122+S123+S124+S125+S126+S165+S166+S52+S53+S57++S58+S86+S105+S106+S127+S128+S129+S130+S131+S132+S133+S134+S135+S136+S137+S138+S139+S140+S141+S142+S143+S144+S145+S146+S147+S148+S149+S150+S151+S152+S118+S119+S153+S154+S156+S157+S158+S159+S160+S161+S162+S163+S164</f>
        <v>59913.067980000007</v>
      </c>
      <c r="T167" s="49">
        <f t="shared" si="20"/>
        <v>49695.1443</v>
      </c>
      <c r="U167" s="49">
        <f t="shared" si="20"/>
        <v>48468.430780000002</v>
      </c>
      <c r="V167" s="49">
        <f t="shared" si="20"/>
        <v>1226.71352</v>
      </c>
      <c r="W167" s="49">
        <f t="shared" si="20"/>
        <v>80198.704620000004</v>
      </c>
      <c r="X167" s="49">
        <f t="shared" si="20"/>
        <v>77970.895219999991</v>
      </c>
      <c r="Y167" s="49">
        <f t="shared" si="20"/>
        <v>2227.8094000000001</v>
      </c>
      <c r="Z167" s="52">
        <f t="shared" si="20"/>
        <v>30503.560319999997</v>
      </c>
      <c r="AA167" s="47">
        <f t="shared" si="20"/>
        <v>29502.464440000003</v>
      </c>
      <c r="AB167" s="25">
        <f t="shared" si="20"/>
        <v>1001.0958800000001</v>
      </c>
      <c r="AC167" s="5">
        <f>K167-X167</f>
        <v>-77970.895219999991</v>
      </c>
      <c r="AE167" s="5"/>
      <c r="AG167" s="5">
        <f>U167-X167</f>
        <v>-29502.464439999989</v>
      </c>
      <c r="AH167" s="95">
        <f>SUM(AH144:AH166)</f>
        <v>0</v>
      </c>
      <c r="AI167" s="5">
        <f t="shared" si="19"/>
        <v>0</v>
      </c>
    </row>
    <row r="168" spans="1:35" ht="16.5" collapsed="1" thickBot="1">
      <c r="A168" s="187" t="s">
        <v>261</v>
      </c>
      <c r="B168" s="188"/>
      <c r="C168" s="188"/>
      <c r="D168" s="48"/>
      <c r="E168" s="167"/>
      <c r="F168" s="167"/>
      <c r="G168" s="167"/>
      <c r="H168" s="167"/>
      <c r="I168" s="119"/>
      <c r="J168" s="167"/>
      <c r="K168" s="49">
        <f>K167+K143</f>
        <v>689699.70370507054</v>
      </c>
      <c r="L168" s="50"/>
      <c r="M168" s="51"/>
      <c r="N168" s="63"/>
      <c r="O168" s="63"/>
      <c r="P168" s="63"/>
      <c r="Q168" s="63"/>
      <c r="R168" s="51"/>
      <c r="S168" s="87">
        <f t="shared" ref="S168:AB168" si="21">S47+S48+S49+S50+S51+S52+S55+S56+S57++S60+S61+S62+S63+S64+S65+S66+S67+S68+S69+S70+S71+S72+S73+S74+S75+S76+S77+S78+S79+S80+S81+S82+S83+S84+S85+S86+S88+S89+S90+S91+S100+S101+S102++S103+S104+S105+S108+S109+S110+S111+S112+S113+S114+S115+S116+S117+S118+S121+S122+S123+S124+S125+S126+S127+S166+S167+S53+S54+S58++S59+S87+S106+S107+S128+S129+S130+S131+S132+S133+S134+S135+S136+S137+S138+S139+S140+S141+S142+S143+S144+S145+S146+S147+S148+S149+S150+S151+S152+S153+S119+S120+S154+S156+S157+S158+S159+S160+S161+S162+S163+S164+S165</f>
        <v>119672.1811</v>
      </c>
      <c r="T168" s="49">
        <f t="shared" si="21"/>
        <v>99260.102389999985</v>
      </c>
      <c r="U168" s="49">
        <f t="shared" si="21"/>
        <v>96806.675350000005</v>
      </c>
      <c r="V168" s="49">
        <f t="shared" si="21"/>
        <v>2453.4270399999996</v>
      </c>
      <c r="W168" s="49">
        <f t="shared" si="21"/>
        <v>159958.77999999997</v>
      </c>
      <c r="X168" s="49">
        <f t="shared" si="21"/>
        <v>155503.16119999997</v>
      </c>
      <c r="Y168" s="49">
        <f t="shared" si="21"/>
        <v>4455.6188000000002</v>
      </c>
      <c r="Z168" s="52">
        <f t="shared" si="21"/>
        <v>60698.677609999992</v>
      </c>
      <c r="AA168" s="47">
        <f t="shared" si="21"/>
        <v>58696.485849999997</v>
      </c>
      <c r="AB168" s="25">
        <f t="shared" si="21"/>
        <v>2002.1917600000002</v>
      </c>
      <c r="AC168" s="5">
        <f>K168-X168</f>
        <v>534196.54250507057</v>
      </c>
      <c r="AE168" s="5"/>
      <c r="AG168" s="5">
        <f>U168-X168</f>
        <v>-58696.485849999968</v>
      </c>
      <c r="AH168" s="49">
        <f>AH167+AH143</f>
        <v>557808.07000000018</v>
      </c>
      <c r="AI168" s="5">
        <f t="shared" si="19"/>
        <v>-131891.63370507036</v>
      </c>
    </row>
    <row r="169" spans="1:35" ht="15.75">
      <c r="A169" s="88"/>
      <c r="B169" s="88"/>
      <c r="C169" s="88"/>
      <c r="D169" s="89"/>
      <c r="E169" s="90"/>
      <c r="F169" s="90"/>
      <c r="G169" s="90"/>
      <c r="H169" s="90"/>
      <c r="I169" s="120"/>
      <c r="J169" s="90"/>
      <c r="K169" s="91"/>
      <c r="L169" s="92"/>
      <c r="M169" s="92"/>
      <c r="N169" s="92"/>
      <c r="O169" s="92"/>
      <c r="P169" s="92"/>
      <c r="Q169" s="92"/>
      <c r="R169" s="92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5"/>
      <c r="AE169" s="5"/>
      <c r="AG169" s="5"/>
    </row>
    <row r="170" spans="1:35" ht="20.25" customHeight="1">
      <c r="A170" s="184" t="s">
        <v>284</v>
      </c>
      <c r="B170" s="184"/>
      <c r="C170" s="184"/>
      <c r="D170" s="184"/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26"/>
      <c r="Q170" s="126"/>
    </row>
    <row r="171" spans="1:35" ht="20.25" customHeight="1">
      <c r="A171" s="173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26"/>
      <c r="Q171" s="126"/>
    </row>
    <row r="172" spans="1:35" ht="50.25" customHeight="1" thickBot="1">
      <c r="A172" s="185" t="s">
        <v>286</v>
      </c>
      <c r="B172" s="185"/>
      <c r="C172" s="185"/>
      <c r="D172" s="185"/>
      <c r="E172" s="173"/>
      <c r="F172" s="185"/>
      <c r="G172" s="185"/>
      <c r="H172" s="173"/>
      <c r="I172" s="185" t="s">
        <v>289</v>
      </c>
      <c r="J172" s="185"/>
      <c r="K172" s="185"/>
      <c r="L172" s="185"/>
      <c r="M172" s="185"/>
      <c r="N172" s="173"/>
      <c r="O172" s="173"/>
      <c r="P172" s="126"/>
      <c r="Q172" s="126"/>
    </row>
    <row r="173" spans="1:35" ht="20.25" customHeight="1">
      <c r="A173" s="186" t="s">
        <v>285</v>
      </c>
      <c r="B173" s="186"/>
      <c r="C173" s="186"/>
      <c r="D173" s="186"/>
      <c r="E173" s="173"/>
      <c r="F173" s="186" t="s">
        <v>287</v>
      </c>
      <c r="G173" s="186"/>
      <c r="H173" s="173"/>
      <c r="I173" s="186" t="s">
        <v>288</v>
      </c>
      <c r="J173" s="186"/>
      <c r="K173" s="186"/>
      <c r="L173" s="186"/>
      <c r="M173" s="186"/>
      <c r="N173" s="173"/>
      <c r="O173" s="173"/>
      <c r="P173" s="126"/>
      <c r="Q173" s="126"/>
    </row>
    <row r="174" spans="1:35" ht="52.5" customHeight="1">
      <c r="A174" s="129"/>
      <c r="B174" s="129"/>
      <c r="C174" s="129"/>
      <c r="D174" s="129"/>
      <c r="E174" s="173"/>
      <c r="F174" s="129" t="s">
        <v>290</v>
      </c>
      <c r="G174" s="129"/>
      <c r="H174" s="173"/>
      <c r="I174" s="129"/>
      <c r="J174" s="129"/>
      <c r="K174" s="129"/>
      <c r="L174" s="129"/>
      <c r="M174" s="129"/>
      <c r="N174" s="173"/>
      <c r="O174" s="173"/>
      <c r="P174" s="126"/>
      <c r="Q174" s="126"/>
    </row>
    <row r="175" spans="1:35" ht="42" customHeight="1" thickBot="1">
      <c r="A175" s="126"/>
      <c r="B175" s="126"/>
      <c r="C175" s="126"/>
      <c r="D175" s="126"/>
      <c r="E175" s="128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35" ht="36.75" customHeight="1">
      <c r="A176" s="181" t="s">
        <v>15</v>
      </c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33" ht="36.75" customHeight="1">
      <c r="A177" s="168"/>
      <c r="B177" s="168"/>
      <c r="C177" s="168"/>
      <c r="D177" s="168"/>
      <c r="E177" s="168" t="s">
        <v>262</v>
      </c>
      <c r="F177" s="168"/>
      <c r="G177" s="168">
        <f>176662.1</f>
        <v>176662.1</v>
      </c>
      <c r="H177" s="103">
        <f>G177+G178-K167</f>
        <v>190785.6</v>
      </c>
      <c r="I177" s="121"/>
      <c r="J177" s="168"/>
      <c r="K177" s="168"/>
      <c r="L177" s="168"/>
      <c r="M177" s="168"/>
      <c r="N177" s="168"/>
      <c r="O177" s="168"/>
      <c r="P177" s="168"/>
      <c r="Q177" s="168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33" ht="36.75" customHeight="1">
      <c r="A178" s="168"/>
      <c r="B178" s="168"/>
      <c r="C178" s="168"/>
      <c r="D178" s="168"/>
      <c r="E178" s="168" t="s">
        <v>263</v>
      </c>
      <c r="F178" s="168"/>
      <c r="G178" s="168">
        <v>14123.5</v>
      </c>
      <c r="H178" s="168"/>
      <c r="I178" s="121"/>
      <c r="J178" s="168"/>
      <c r="K178" s="168"/>
      <c r="L178" s="168"/>
      <c r="M178" s="168"/>
      <c r="N178" s="168"/>
      <c r="O178" s="168"/>
      <c r="P178" s="168"/>
      <c r="Q178" s="168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33" ht="36.75" customHeight="1">
      <c r="A179" s="168"/>
      <c r="B179" s="168"/>
      <c r="C179" s="168"/>
      <c r="D179" s="168"/>
      <c r="E179" s="168"/>
      <c r="F179" s="168"/>
      <c r="G179" s="168"/>
      <c r="H179" s="168"/>
      <c r="I179" s="121"/>
      <c r="J179" s="168"/>
      <c r="K179" s="168"/>
      <c r="L179" s="168"/>
      <c r="M179" s="168"/>
      <c r="N179" s="168"/>
      <c r="O179" s="168"/>
      <c r="P179" s="168"/>
      <c r="Q179" s="168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33" ht="36.75" customHeight="1">
      <c r="A180" s="168"/>
      <c r="B180" s="168"/>
      <c r="C180" s="168"/>
      <c r="D180" s="168"/>
      <c r="E180" s="168"/>
      <c r="F180" s="168"/>
      <c r="G180" s="168"/>
      <c r="H180" s="168"/>
      <c r="I180" s="121"/>
      <c r="J180" s="168"/>
      <c r="K180" s="168"/>
      <c r="L180" s="168"/>
      <c r="M180" s="168"/>
      <c r="N180" s="168"/>
      <c r="O180" s="168"/>
      <c r="P180" s="168"/>
      <c r="Q180" s="168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33" ht="31.5">
      <c r="A181" s="168"/>
      <c r="B181" s="168"/>
      <c r="C181" s="168"/>
      <c r="D181" s="168"/>
      <c r="E181" s="168"/>
      <c r="F181" s="168"/>
      <c r="G181" s="168"/>
      <c r="H181" s="168"/>
      <c r="I181" s="121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53" t="s">
        <v>148</v>
      </c>
      <c r="U181" s="53" t="s">
        <v>148</v>
      </c>
      <c r="V181" s="53" t="s">
        <v>148</v>
      </c>
      <c r="W181" s="53" t="s">
        <v>149</v>
      </c>
      <c r="X181" s="166"/>
      <c r="Y181" s="166"/>
      <c r="Z181" s="53" t="s">
        <v>150</v>
      </c>
    </row>
    <row r="182" spans="1:33" ht="36.75" customHeight="1">
      <c r="A182" s="165"/>
      <c r="B182" s="165"/>
      <c r="C182" s="165"/>
      <c r="D182" s="22" t="s">
        <v>134</v>
      </c>
      <c r="E182" s="22"/>
      <c r="F182" s="22"/>
      <c r="G182" s="22"/>
      <c r="H182" s="22"/>
      <c r="I182" s="122"/>
      <c r="J182" s="22"/>
      <c r="K182" s="22"/>
      <c r="L182" s="22"/>
      <c r="M182" s="22"/>
      <c r="N182" s="22"/>
      <c r="O182" s="22"/>
      <c r="P182" s="22"/>
      <c r="Q182" s="22"/>
      <c r="R182" s="22"/>
      <c r="S182" s="23"/>
      <c r="T182" s="26">
        <f>U182+V182</f>
        <v>691</v>
      </c>
      <c r="U182" s="23"/>
      <c r="V182" s="23">
        <v>691</v>
      </c>
      <c r="W182" s="26">
        <f>X182++Y182</f>
        <v>1354</v>
      </c>
      <c r="X182" s="23"/>
      <c r="Y182" s="23">
        <v>1354</v>
      </c>
      <c r="Z182" s="28">
        <f>AA182+AB182</f>
        <v>663</v>
      </c>
      <c r="AA182" s="31">
        <f t="shared" ref="AA182:AB185" si="22">X182-U182</f>
        <v>0</v>
      </c>
      <c r="AB182" s="28">
        <f t="shared" si="22"/>
        <v>663</v>
      </c>
    </row>
    <row r="183" spans="1:33" ht="36.75" customHeight="1">
      <c r="A183" s="165"/>
      <c r="B183" s="165"/>
      <c r="C183" s="165"/>
      <c r="D183" s="22" t="s">
        <v>135</v>
      </c>
      <c r="E183" s="22"/>
      <c r="F183" s="22"/>
      <c r="G183" s="22"/>
      <c r="H183" s="22"/>
      <c r="I183" s="122"/>
      <c r="J183" s="22"/>
      <c r="K183" s="22"/>
      <c r="L183" s="22"/>
      <c r="M183" s="22"/>
      <c r="N183" s="22"/>
      <c r="O183" s="22"/>
      <c r="P183" s="22"/>
      <c r="Q183" s="22"/>
      <c r="R183" s="22"/>
      <c r="S183" s="23"/>
      <c r="T183" s="26">
        <f>U183+V183</f>
        <v>691</v>
      </c>
      <c r="U183" s="23"/>
      <c r="V183" s="23">
        <v>691</v>
      </c>
      <c r="W183" s="26">
        <f>X183++Y183</f>
        <v>1354</v>
      </c>
      <c r="X183" s="23"/>
      <c r="Y183" s="23">
        <f>Y182</f>
        <v>1354</v>
      </c>
      <c r="Z183" s="28">
        <f>AA183+AB183</f>
        <v>663</v>
      </c>
      <c r="AA183" s="31">
        <f t="shared" si="22"/>
        <v>0</v>
      </c>
      <c r="AB183" s="28">
        <f t="shared" si="22"/>
        <v>663</v>
      </c>
    </row>
    <row r="184" spans="1:33" ht="36.75" customHeight="1">
      <c r="A184" s="165"/>
      <c r="B184" s="165"/>
      <c r="C184" s="165"/>
      <c r="D184" s="22" t="s">
        <v>147</v>
      </c>
      <c r="E184" s="22"/>
      <c r="F184" s="22"/>
      <c r="G184" s="22"/>
      <c r="H184" s="22"/>
      <c r="I184" s="1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26">
        <f>U184+V184</f>
        <v>31826.216679999994</v>
      </c>
      <c r="U184" s="23">
        <f>U143</f>
        <v>31209.126919999995</v>
      </c>
      <c r="V184" s="23">
        <f>V143</f>
        <v>617.08976000000007</v>
      </c>
      <c r="W184" s="26">
        <f>X184++Y184</f>
        <v>48939.761679999996</v>
      </c>
      <c r="X184" s="23">
        <f>X143</f>
        <v>47803.247979999993</v>
      </c>
      <c r="Y184" s="23">
        <f>Y143</f>
        <v>1136.5137</v>
      </c>
      <c r="Z184" s="28">
        <f>AA184+AB184</f>
        <v>17113.544999999998</v>
      </c>
      <c r="AA184" s="31">
        <f t="shared" si="22"/>
        <v>16594.121059999998</v>
      </c>
      <c r="AB184" s="28">
        <f t="shared" si="22"/>
        <v>519.4239399999999</v>
      </c>
    </row>
    <row r="185" spans="1:33" ht="36.75" customHeight="1">
      <c r="A185" s="165"/>
      <c r="B185" s="165"/>
      <c r="C185" s="165"/>
      <c r="D185" s="22" t="s">
        <v>146</v>
      </c>
      <c r="E185" s="22"/>
      <c r="F185" s="22"/>
      <c r="G185" s="22"/>
      <c r="H185" s="22"/>
      <c r="I185" s="122"/>
      <c r="J185" s="22"/>
      <c r="K185" s="22"/>
      <c r="L185" s="22"/>
      <c r="M185" s="22"/>
      <c r="N185" s="22"/>
      <c r="O185" s="22"/>
      <c r="P185" s="22"/>
      <c r="Q185" s="22"/>
      <c r="R185" s="22"/>
      <c r="S185" s="23"/>
      <c r="T185" s="26">
        <f>U185+V185</f>
        <v>617.08976000000007</v>
      </c>
      <c r="U185" s="23"/>
      <c r="V185" s="23">
        <f>V143</f>
        <v>617.08976000000007</v>
      </c>
      <c r="W185" s="26">
        <f>X185++Y185</f>
        <v>1136.5137</v>
      </c>
      <c r="X185" s="23"/>
      <c r="Y185" s="23">
        <f>Y143</f>
        <v>1136.5137</v>
      </c>
      <c r="Z185" s="28">
        <f>AA185+AB185</f>
        <v>519.4239399999999</v>
      </c>
      <c r="AA185" s="31">
        <f t="shared" si="22"/>
        <v>0</v>
      </c>
      <c r="AB185" s="28">
        <f t="shared" si="22"/>
        <v>519.4239399999999</v>
      </c>
    </row>
    <row r="186" spans="1:33" ht="36.75" customHeight="1">
      <c r="A186" s="165"/>
      <c r="B186" s="165"/>
      <c r="C186" s="165"/>
      <c r="D186" s="165"/>
      <c r="E186" s="165"/>
      <c r="F186" s="165"/>
      <c r="G186" s="165"/>
      <c r="H186" s="165"/>
      <c r="I186" s="123"/>
      <c r="J186" s="165"/>
      <c r="K186" s="165"/>
      <c r="L186" s="165"/>
      <c r="M186" s="165"/>
      <c r="N186" s="165"/>
      <c r="O186" s="165"/>
      <c r="P186" s="165"/>
      <c r="Q186" s="165"/>
      <c r="R186" s="165"/>
    </row>
    <row r="188" spans="1:33">
      <c r="K188" s="5">
        <f>SUM(K23:K142)-K67</f>
        <v>689699.70370507042</v>
      </c>
    </row>
    <row r="189" spans="1:33">
      <c r="K189" s="5">
        <f>K188-K143</f>
        <v>0</v>
      </c>
    </row>
    <row r="192" spans="1:33" ht="15.75">
      <c r="A192" s="17">
        <v>74</v>
      </c>
      <c r="B192" s="59"/>
      <c r="C192" s="59"/>
      <c r="D192" s="15" t="s">
        <v>95</v>
      </c>
      <c r="E192" s="18"/>
      <c r="F192" s="18"/>
      <c r="G192" s="18"/>
      <c r="H192" s="18"/>
      <c r="I192" s="124"/>
      <c r="J192" s="18"/>
      <c r="K192" s="16">
        <f>180</f>
        <v>180</v>
      </c>
      <c r="L192" s="19" t="s">
        <v>258</v>
      </c>
      <c r="M192" s="20">
        <v>2013</v>
      </c>
      <c r="N192" s="64"/>
      <c r="O192" s="64"/>
      <c r="P192" s="64"/>
      <c r="Q192" s="64"/>
      <c r="R192" s="64"/>
      <c r="S192" s="21">
        <v>105.61324</v>
      </c>
      <c r="T192" s="21"/>
      <c r="U192" s="21">
        <v>29.968979999999998</v>
      </c>
      <c r="V192" s="21"/>
      <c r="W192" s="21"/>
      <c r="X192" s="21">
        <v>142.68914000000001</v>
      </c>
      <c r="Y192" s="21"/>
      <c r="Z192" s="21"/>
      <c r="AA192" s="21">
        <f>X192-U192</f>
        <v>112.72016000000001</v>
      </c>
      <c r="AB192" s="24"/>
      <c r="AC192" s="5">
        <f>K192-X192</f>
        <v>37.310859999999991</v>
      </c>
      <c r="AG192" s="5">
        <f>U192-X192</f>
        <v>-112.72016000000001</v>
      </c>
    </row>
  </sheetData>
  <autoFilter ref="A22:AK168">
    <filterColumn colId="1"/>
    <filterColumn colId="2"/>
    <filterColumn colId="4"/>
    <filterColumn colId="5"/>
    <filterColumn colId="6"/>
    <filterColumn colId="7"/>
    <filterColumn colId="8"/>
    <filterColumn colId="9"/>
    <filterColumn colId="13"/>
    <filterColumn colId="14"/>
    <filterColumn colId="15"/>
    <filterColumn colId="16"/>
    <filterColumn colId="17"/>
    <filterColumn colId="19"/>
    <filterColumn colId="21"/>
    <filterColumn colId="22"/>
    <filterColumn colId="24"/>
    <filterColumn colId="25"/>
    <filterColumn colId="27"/>
  </autoFilter>
  <mergeCells count="51">
    <mergeCell ref="L13:O15"/>
    <mergeCell ref="L9:O12"/>
    <mergeCell ref="E14:G14"/>
    <mergeCell ref="E15:G15"/>
    <mergeCell ref="E16:G16"/>
    <mergeCell ref="E17:H17"/>
    <mergeCell ref="A176:Q176"/>
    <mergeCell ref="A172:D172"/>
    <mergeCell ref="F172:G172"/>
    <mergeCell ref="I172:M172"/>
    <mergeCell ref="A173:D173"/>
    <mergeCell ref="F173:G173"/>
    <mergeCell ref="I173:M173"/>
    <mergeCell ref="AD79:AD84"/>
    <mergeCell ref="AD87:AD90"/>
    <mergeCell ref="A143:C143"/>
    <mergeCell ref="A167:C167"/>
    <mergeCell ref="A168:C168"/>
    <mergeCell ref="A170:O170"/>
    <mergeCell ref="K20:K21"/>
    <mergeCell ref="L20:M20"/>
    <mergeCell ref="N20:N21"/>
    <mergeCell ref="A67:A75"/>
    <mergeCell ref="N67:N75"/>
    <mergeCell ref="R67:R75"/>
    <mergeCell ref="A19:A21"/>
    <mergeCell ref="B19:B21"/>
    <mergeCell ref="C19:C21"/>
    <mergeCell ref="D19:O19"/>
    <mergeCell ref="Q19:Q21"/>
    <mergeCell ref="D20:D21"/>
    <mergeCell ref="E20:E21"/>
    <mergeCell ref="F20:G20"/>
    <mergeCell ref="H20:H21"/>
    <mergeCell ref="I20:J20"/>
    <mergeCell ref="A17:D17"/>
    <mergeCell ref="A10:D10"/>
    <mergeCell ref="A11:D11"/>
    <mergeCell ref="A12:D12"/>
    <mergeCell ref="A13:D13"/>
    <mergeCell ref="A14:D14"/>
    <mergeCell ref="A15:D15"/>
    <mergeCell ref="A16:D16"/>
    <mergeCell ref="E10:F10"/>
    <mergeCell ref="E11:G11"/>
    <mergeCell ref="A1:M1"/>
    <mergeCell ref="A2:M2"/>
    <mergeCell ref="A3:M3"/>
    <mergeCell ref="A4:M4"/>
    <mergeCell ref="A8:Q8"/>
    <mergeCell ref="A9:E9"/>
  </mergeCells>
  <hyperlinks>
    <hyperlink ref="E13" r:id="rId1"/>
  </hyperlinks>
  <pageMargins left="0.19685039370078741" right="0.23622047244094491" top="0.27559055118110237" bottom="0.23622047244094491" header="0.15748031496062992" footer="0.15748031496062992"/>
  <pageSetup paperSize="9" scale="35" fitToHeight="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2012</vt:lpstr>
      <vt:lpstr>2013</vt:lpstr>
      <vt:lpstr>'2012'!Заголовки_для_печати</vt:lpstr>
      <vt:lpstr>'2013'!Заголовки_для_печати</vt:lpstr>
      <vt:lpstr>'2012'!Область_печати</vt:lpstr>
      <vt:lpstr>'2013'!Область_печати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2012-12-28T02:44:25Z</dcterms:modified>
</cp:coreProperties>
</file>